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S:\DSB\CRES\7. REVISÃO TARIFARIA CONTRATO 009 2025\RTO 2025 SANESUL\DOC AUDIENCIA PÚBLICA\"/>
    </mc:Choice>
  </mc:AlternateContent>
  <bookViews>
    <workbookView xWindow="0" yWindow="0" windowWidth="20490" windowHeight="7620" tabRatio="865"/>
  </bookViews>
  <sheets>
    <sheet name="Resultados" sheetId="28" r:id="rId1"/>
    <sheet name="Ativos" sheetId="35" r:id="rId2"/>
    <sheet name="OPEX" sheetId="60" r:id="rId3"/>
    <sheet name="Mercado" sheetId="54" r:id="rId4"/>
    <sheet name="Contraprestação PPP" sheetId="45" state="hidden" r:id="rId5"/>
    <sheet name="Outras Receitas" sheetId="37" r:id="rId6"/>
    <sheet name="Receitas Irrecuperáveis" sheetId="38" r:id="rId7"/>
    <sheet name="BD Outras Receitas" sheetId="39" r:id="rId8"/>
    <sheet name="IPCA" sheetId="24" r:id="rId9"/>
    <sheet name="AUX" sheetId="56" state="hidden" r:id="rId10"/>
    <sheet name="AUX2" sheetId="63" state="hidden" r:id="rId11"/>
    <sheet name="Informações TAI" sheetId="53" state="hidden" r:id="rId12"/>
    <sheet name="INDICADORES MERCADO" sheetId="61" r:id="rId13"/>
    <sheet name="BD Custos Operacionais" sheetId="23" state="hidden" r:id="rId14"/>
    <sheet name="BD Receita" sheetId="46" state="hidden" r:id="rId15"/>
    <sheet name="Economias, Ligações e Volumes" sheetId="30" state="hidden" r:id="rId16"/>
    <sheet name="Consumo Energia" sheetId="31" state="hidden" r:id="rId17"/>
    <sheet name="Material de Tratamento" sheetId="32" state="hidden" r:id="rId18"/>
    <sheet name="BD Investimentos" sheetId="44" state="hidden" r:id="rId19"/>
  </sheets>
  <externalReferences>
    <externalReference r:id="rId20"/>
  </externalReferences>
  <definedNames>
    <definedName name="_xlnm._FilterDatabase" localSheetId="13" hidden="1">'BD Custos Operacionais'!$B$8:$J$89</definedName>
    <definedName name="_xlnm._FilterDatabase" localSheetId="18" hidden="1">'BD Investimentos'!$B$5:$H$28</definedName>
    <definedName name="_xlnm._FilterDatabase" localSheetId="11" hidden="1">'Informações TAI'!$C$1:$L$4626</definedName>
    <definedName name="DATA_BASE" localSheetId="12">[1]Resultados!$F$5</definedName>
    <definedName name="DATA_BASE">Resultados!$F$5</definedName>
    <definedName name="FP" localSheetId="12">[1]OPEX!$C$6</definedName>
    <definedName name="FP">OPEX!$C$8</definedName>
    <definedName name="OR" localSheetId="12">'[1]Outras Receitas'!$N$31</definedName>
    <definedName name="OR">'Outras Receitas'!$N$31</definedName>
    <definedName name="QRR" localSheetId="12">[1]Ativos!$C$6</definedName>
    <definedName name="QRR">Ativos!$C$7</definedName>
    <definedName name="TRS" localSheetId="12">[1]Resultados!$F$36</definedName>
    <definedName name="TRS">Resultados!$F$36</definedName>
    <definedName name="WACC" localSheetId="12">[1]Resultados!$F$33</definedName>
    <definedName name="WACC">Resultados!$F$33</definedName>
    <definedName name="WACC_AntesImpostos" localSheetId="12">[1]Resultados!$F$32</definedName>
    <definedName name="WACC_AntesImpostos">Resultados!$F$32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28" l="1"/>
  <c r="F33" i="60"/>
  <c r="G33" i="60"/>
  <c r="H33" i="60"/>
  <c r="I33" i="60"/>
  <c r="E33" i="60"/>
  <c r="D33" i="60"/>
  <c r="D31" i="60"/>
  <c r="G43" i="28"/>
  <c r="BC5" i="53" l="1"/>
  <c r="AX10" i="53"/>
  <c r="AY10" i="53"/>
  <c r="AZ10" i="53"/>
  <c r="BA10" i="53"/>
  <c r="BB10" i="53"/>
  <c r="BC10" i="53"/>
  <c r="BD10" i="53"/>
  <c r="BE10" i="53"/>
  <c r="BF10" i="53"/>
  <c r="BG10" i="53"/>
  <c r="BH10" i="53"/>
  <c r="AW10" i="53"/>
  <c r="K41" i="54" l="1"/>
  <c r="L41" i="54"/>
  <c r="M41" i="54"/>
  <c r="N41" i="54"/>
  <c r="J41" i="54"/>
  <c r="E41" i="54"/>
  <c r="F41" i="54"/>
  <c r="G41" i="54"/>
  <c r="H41" i="54"/>
  <c r="I41" i="54"/>
  <c r="D41" i="54"/>
  <c r="H25" i="54"/>
  <c r="J36" i="54" l="1"/>
  <c r="D35" i="54"/>
  <c r="K18" i="54"/>
  <c r="K25" i="54"/>
  <c r="I28" i="54"/>
  <c r="I27" i="54"/>
  <c r="C16" i="35"/>
  <c r="D16" i="35"/>
  <c r="D13" i="35" l="1"/>
  <c r="C26" i="35"/>
  <c r="F45" i="28"/>
  <c r="G45" i="28" s="1"/>
  <c r="N2" i="37"/>
  <c r="G52" i="28"/>
  <c r="H381" i="24"/>
  <c r="BH9" i="53"/>
  <c r="BE9" i="53"/>
  <c r="BF9" i="53"/>
  <c r="BG9" i="53"/>
  <c r="BD9" i="53"/>
  <c r="BB9" i="53"/>
  <c r="BA9" i="53"/>
  <c r="AZ9" i="53"/>
  <c r="AY9" i="53"/>
  <c r="AX9" i="53"/>
  <c r="AW9" i="53"/>
  <c r="C21" i="28" l="1"/>
  <c r="E43" i="38" l="1"/>
  <c r="F43" i="38"/>
  <c r="G43" i="38"/>
  <c r="H43" i="38"/>
  <c r="I43" i="38"/>
  <c r="J43" i="38"/>
  <c r="K43" i="38"/>
  <c r="L43" i="38"/>
  <c r="M43" i="38"/>
  <c r="N43" i="38"/>
  <c r="O43" i="38"/>
  <c r="P43" i="38"/>
  <c r="Q43" i="38"/>
  <c r="R43" i="38"/>
  <c r="S43" i="38"/>
  <c r="T43" i="38"/>
  <c r="U43" i="38"/>
  <c r="V43" i="38"/>
  <c r="W43" i="38"/>
  <c r="X43" i="38"/>
  <c r="Y43" i="38"/>
  <c r="Z43" i="38"/>
  <c r="AA43" i="38"/>
  <c r="D43" i="38"/>
  <c r="E34" i="38"/>
  <c r="F34" i="38"/>
  <c r="G34" i="38"/>
  <c r="H34" i="38"/>
  <c r="I34" i="38"/>
  <c r="J34" i="38"/>
  <c r="K34" i="38"/>
  <c r="L34" i="38"/>
  <c r="M34" i="38"/>
  <c r="N34" i="38"/>
  <c r="O34" i="38"/>
  <c r="P34" i="38"/>
  <c r="Q34" i="38"/>
  <c r="R34" i="38"/>
  <c r="S34" i="38"/>
  <c r="T34" i="38"/>
  <c r="U34" i="38"/>
  <c r="V34" i="38"/>
  <c r="W34" i="38"/>
  <c r="X34" i="38"/>
  <c r="Y34" i="38"/>
  <c r="Z34" i="38"/>
  <c r="AA34" i="38"/>
  <c r="D34" i="38"/>
  <c r="E25" i="38"/>
  <c r="F25" i="38"/>
  <c r="G25" i="38"/>
  <c r="H25" i="38"/>
  <c r="I25" i="38"/>
  <c r="J25" i="38"/>
  <c r="K25" i="38"/>
  <c r="L25" i="38"/>
  <c r="M25" i="38"/>
  <c r="N25" i="38"/>
  <c r="O25" i="38"/>
  <c r="P25" i="38"/>
  <c r="Q25" i="38"/>
  <c r="R25" i="38"/>
  <c r="S25" i="38"/>
  <c r="T25" i="38"/>
  <c r="U25" i="38"/>
  <c r="V25" i="38"/>
  <c r="W25" i="38"/>
  <c r="X25" i="38"/>
  <c r="Y25" i="38"/>
  <c r="Z25" i="38"/>
  <c r="AA25" i="38"/>
  <c r="D25" i="38"/>
  <c r="E17" i="38"/>
  <c r="F17" i="38"/>
  <c r="G17" i="38"/>
  <c r="H17" i="38"/>
  <c r="I17" i="38"/>
  <c r="J17" i="38"/>
  <c r="K17" i="38"/>
  <c r="L17" i="38"/>
  <c r="M17" i="38"/>
  <c r="N17" i="38"/>
  <c r="O17" i="38"/>
  <c r="P17" i="38"/>
  <c r="Q17" i="38"/>
  <c r="R17" i="38"/>
  <c r="S17" i="38"/>
  <c r="T17" i="38"/>
  <c r="U17" i="38"/>
  <c r="V17" i="38"/>
  <c r="W17" i="38"/>
  <c r="X17" i="38"/>
  <c r="Y17" i="38"/>
  <c r="Z17" i="38"/>
  <c r="AA17" i="38"/>
  <c r="D17" i="38"/>
  <c r="D14" i="35"/>
  <c r="F32" i="28" l="1"/>
  <c r="AA33" i="38" l="1"/>
  <c r="AA24" i="38"/>
  <c r="AA16" i="38"/>
  <c r="E16" i="38"/>
  <c r="F16" i="38"/>
  <c r="G16" i="38"/>
  <c r="H16" i="38"/>
  <c r="I16" i="38"/>
  <c r="J16" i="38"/>
  <c r="K16" i="38"/>
  <c r="L16" i="38"/>
  <c r="M16" i="38"/>
  <c r="N16" i="38"/>
  <c r="D16" i="38"/>
  <c r="G37" i="39"/>
  <c r="F37" i="39"/>
  <c r="E37" i="39"/>
  <c r="D37" i="39"/>
  <c r="G38" i="39" l="1"/>
  <c r="BD8" i="53"/>
  <c r="AZ8" i="53"/>
  <c r="AY8" i="53"/>
  <c r="AX8" i="53"/>
  <c r="AW8" i="53"/>
  <c r="AN63" i="53"/>
  <c r="AW7" i="53"/>
  <c r="Z6" i="53"/>
  <c r="Z3" i="53"/>
  <c r="J24" i="46"/>
  <c r="J28" i="46"/>
  <c r="J27" i="46"/>
  <c r="J26" i="46"/>
  <c r="J25" i="46"/>
  <c r="J23" i="46"/>
  <c r="J22" i="46"/>
  <c r="J21" i="46"/>
  <c r="J19" i="46"/>
  <c r="J18" i="46"/>
  <c r="J17" i="46"/>
  <c r="J16" i="46"/>
  <c r="J14" i="46"/>
  <c r="J13" i="46"/>
  <c r="J12" i="46"/>
  <c r="J11" i="46"/>
  <c r="G20" i="46"/>
  <c r="G10" i="46"/>
  <c r="E10" i="46"/>
  <c r="C381" i="24"/>
  <c r="M29" i="60"/>
  <c r="D17" i="60"/>
  <c r="D16" i="60"/>
  <c r="D15" i="60"/>
  <c r="D14" i="60"/>
  <c r="V21" i="60"/>
  <c r="V20" i="60"/>
  <c r="M34" i="60"/>
  <c r="M33" i="60"/>
  <c r="M32" i="60"/>
  <c r="M31" i="60"/>
  <c r="M30" i="60"/>
  <c r="P27" i="60"/>
  <c r="M21" i="60"/>
  <c r="M24" i="60"/>
  <c r="M23" i="60"/>
  <c r="M22" i="60"/>
  <c r="M20" i="60"/>
  <c r="L12" i="35" l="1"/>
  <c r="I62" i="30" l="1"/>
  <c r="E63" i="30"/>
  <c r="F63" i="30"/>
  <c r="G63" i="30"/>
  <c r="H63" i="30"/>
  <c r="I63" i="30"/>
  <c r="E64" i="30"/>
  <c r="F64" i="30"/>
  <c r="G64" i="30"/>
  <c r="H64" i="30"/>
  <c r="I64" i="30"/>
  <c r="E65" i="30"/>
  <c r="F65" i="30"/>
  <c r="G65" i="30"/>
  <c r="H65" i="30"/>
  <c r="I65" i="30"/>
  <c r="E66" i="30"/>
  <c r="F66" i="30"/>
  <c r="G66" i="30"/>
  <c r="H66" i="30"/>
  <c r="I66" i="30"/>
  <c r="E67" i="30"/>
  <c r="F67" i="30"/>
  <c r="G67" i="30"/>
  <c r="H67" i="30"/>
  <c r="I67" i="30"/>
  <c r="D66" i="30"/>
  <c r="D65" i="30"/>
  <c r="D64" i="30"/>
  <c r="D63" i="30"/>
  <c r="D67" i="30"/>
  <c r="E51" i="30"/>
  <c r="F51" i="30"/>
  <c r="G51" i="30"/>
  <c r="H51" i="30"/>
  <c r="I51" i="30"/>
  <c r="E52" i="30"/>
  <c r="F52" i="30"/>
  <c r="G52" i="30"/>
  <c r="H52" i="30"/>
  <c r="I52" i="30"/>
  <c r="E53" i="30"/>
  <c r="F53" i="30"/>
  <c r="G53" i="30"/>
  <c r="H53" i="30"/>
  <c r="I53" i="30"/>
  <c r="E54" i="30"/>
  <c r="F54" i="30"/>
  <c r="G54" i="30"/>
  <c r="H54" i="30"/>
  <c r="I54" i="30"/>
  <c r="E55" i="30"/>
  <c r="F55" i="30"/>
  <c r="G55" i="30"/>
  <c r="H55" i="30"/>
  <c r="I55" i="30"/>
  <c r="D55" i="30"/>
  <c r="D54" i="30"/>
  <c r="D53" i="30"/>
  <c r="D52" i="30"/>
  <c r="D51" i="30"/>
  <c r="I50" i="30"/>
  <c r="E39" i="30"/>
  <c r="F39" i="30"/>
  <c r="G39" i="30"/>
  <c r="H39" i="30"/>
  <c r="I39" i="30"/>
  <c r="E40" i="30"/>
  <c r="F40" i="30"/>
  <c r="G40" i="30"/>
  <c r="H40" i="30"/>
  <c r="I40" i="30"/>
  <c r="E41" i="30"/>
  <c r="F41" i="30"/>
  <c r="G41" i="30"/>
  <c r="H41" i="30"/>
  <c r="I41" i="30"/>
  <c r="E42" i="30"/>
  <c r="F42" i="30"/>
  <c r="G42" i="30"/>
  <c r="H42" i="30"/>
  <c r="I42" i="30"/>
  <c r="E43" i="30"/>
  <c r="F43" i="30"/>
  <c r="G43" i="30"/>
  <c r="H43" i="30"/>
  <c r="I43" i="30"/>
  <c r="D43" i="30"/>
  <c r="D42" i="30"/>
  <c r="D41" i="30"/>
  <c r="D40" i="30"/>
  <c r="D39" i="30"/>
  <c r="I38" i="30"/>
  <c r="E27" i="30"/>
  <c r="F27" i="30"/>
  <c r="G27" i="30"/>
  <c r="H27" i="30"/>
  <c r="E28" i="30"/>
  <c r="F28" i="30"/>
  <c r="G28" i="30"/>
  <c r="H28" i="30"/>
  <c r="I28" i="30"/>
  <c r="E29" i="30"/>
  <c r="F29" i="30"/>
  <c r="G29" i="30"/>
  <c r="H29" i="30"/>
  <c r="E30" i="30"/>
  <c r="F30" i="30"/>
  <c r="G30" i="30"/>
  <c r="H30" i="30"/>
  <c r="I30" i="30"/>
  <c r="E31" i="30"/>
  <c r="F31" i="30"/>
  <c r="G31" i="30"/>
  <c r="H31" i="30"/>
  <c r="D31" i="30"/>
  <c r="D30" i="30"/>
  <c r="D29" i="30"/>
  <c r="D28" i="30"/>
  <c r="D27" i="30"/>
  <c r="I26" i="30"/>
  <c r="I27" i="30" s="1"/>
  <c r="E15" i="30"/>
  <c r="F15" i="30"/>
  <c r="G15" i="30"/>
  <c r="H15" i="30"/>
  <c r="E16" i="30"/>
  <c r="F16" i="30"/>
  <c r="G16" i="30"/>
  <c r="H16" i="30"/>
  <c r="E17" i="30"/>
  <c r="F17" i="30"/>
  <c r="G17" i="30"/>
  <c r="H17" i="30"/>
  <c r="E18" i="30"/>
  <c r="F18" i="30"/>
  <c r="G18" i="30"/>
  <c r="H18" i="30"/>
  <c r="E19" i="30"/>
  <c r="F19" i="30"/>
  <c r="G19" i="30"/>
  <c r="H19" i="30"/>
  <c r="D19" i="30"/>
  <c r="D17" i="30"/>
  <c r="D18" i="30"/>
  <c r="D16" i="30"/>
  <c r="D15" i="30"/>
  <c r="I14" i="30"/>
  <c r="I19" i="30" s="1"/>
  <c r="I15" i="30" l="1"/>
  <c r="I16" i="30"/>
  <c r="I17" i="30"/>
  <c r="I18" i="30"/>
  <c r="I31" i="30"/>
  <c r="I29" i="30"/>
  <c r="E69" i="30" l="1"/>
  <c r="F69" i="30"/>
  <c r="G69" i="30"/>
  <c r="H69" i="30"/>
  <c r="I69" i="30"/>
  <c r="E70" i="30"/>
  <c r="F70" i="30"/>
  <c r="G70" i="30"/>
  <c r="H70" i="30"/>
  <c r="I70" i="30"/>
  <c r="E71" i="30"/>
  <c r="F71" i="30"/>
  <c r="G71" i="30"/>
  <c r="H71" i="30"/>
  <c r="I71" i="30"/>
  <c r="E72" i="30"/>
  <c r="F72" i="30"/>
  <c r="G72" i="30"/>
  <c r="H72" i="30"/>
  <c r="I72" i="30"/>
  <c r="E73" i="30"/>
  <c r="F73" i="30"/>
  <c r="G73" i="30"/>
  <c r="H73" i="30"/>
  <c r="I73" i="30"/>
  <c r="D73" i="30"/>
  <c r="D72" i="30"/>
  <c r="D71" i="30"/>
  <c r="D70" i="30"/>
  <c r="D69" i="30"/>
  <c r="I68" i="30"/>
  <c r="I56" i="30"/>
  <c r="I61" i="30" s="1"/>
  <c r="E57" i="30"/>
  <c r="F57" i="30"/>
  <c r="G57" i="30"/>
  <c r="H57" i="30"/>
  <c r="I57" i="30"/>
  <c r="E58" i="30"/>
  <c r="F58" i="30"/>
  <c r="G58" i="30"/>
  <c r="H58" i="30"/>
  <c r="I58" i="30"/>
  <c r="E59" i="30"/>
  <c r="F59" i="30"/>
  <c r="G59" i="30"/>
  <c r="H59" i="30"/>
  <c r="I59" i="30"/>
  <c r="E60" i="30"/>
  <c r="F60" i="30"/>
  <c r="G60" i="30"/>
  <c r="H60" i="30"/>
  <c r="I60" i="30"/>
  <c r="E61" i="30"/>
  <c r="F61" i="30"/>
  <c r="G61" i="30"/>
  <c r="H61" i="30"/>
  <c r="D61" i="30"/>
  <c r="D60" i="30"/>
  <c r="D59" i="30"/>
  <c r="D58" i="30"/>
  <c r="D57" i="30"/>
  <c r="F44" i="30" l="1"/>
  <c r="F45" i="30" s="1"/>
  <c r="G44" i="30"/>
  <c r="G47" i="30" s="1"/>
  <c r="F49" i="30"/>
  <c r="D49" i="30"/>
  <c r="D48" i="30"/>
  <c r="D47" i="30"/>
  <c r="D46" i="30"/>
  <c r="D45" i="30"/>
  <c r="D44" i="30"/>
  <c r="F21" i="30"/>
  <c r="G21" i="30"/>
  <c r="H21" i="30"/>
  <c r="F23" i="30"/>
  <c r="G23" i="30"/>
  <c r="F24" i="30"/>
  <c r="G24" i="30"/>
  <c r="H24" i="30"/>
  <c r="D22" i="30"/>
  <c r="F20" i="30"/>
  <c r="F25" i="30" s="1"/>
  <c r="G20" i="30"/>
  <c r="G25" i="30" s="1"/>
  <c r="H20" i="30"/>
  <c r="H23" i="30" s="1"/>
  <c r="D20" i="30"/>
  <c r="D24" i="30" s="1"/>
  <c r="J85" i="23"/>
  <c r="J82" i="23"/>
  <c r="J73" i="23"/>
  <c r="J35" i="23"/>
  <c r="J89" i="23"/>
  <c r="J88" i="23" s="1"/>
  <c r="J87" i="23"/>
  <c r="J86" i="23"/>
  <c r="J84" i="23"/>
  <c r="J83" i="23"/>
  <c r="J81" i="23"/>
  <c r="J80" i="23" s="1"/>
  <c r="J79" i="23"/>
  <c r="J78" i="23"/>
  <c r="J77" i="23"/>
  <c r="J76" i="23"/>
  <c r="J75" i="23"/>
  <c r="J72" i="23"/>
  <c r="J71" i="23" s="1"/>
  <c r="J70" i="23"/>
  <c r="J69" i="23"/>
  <c r="J68" i="23"/>
  <c r="J67" i="23"/>
  <c r="J66" i="23"/>
  <c r="J65" i="23"/>
  <c r="J64" i="23"/>
  <c r="J63" i="23"/>
  <c r="J62" i="23"/>
  <c r="J61" i="23"/>
  <c r="J60" i="23"/>
  <c r="J59" i="23"/>
  <c r="J58" i="23"/>
  <c r="J57" i="23"/>
  <c r="J56" i="23"/>
  <c r="J55" i="23"/>
  <c r="J53" i="23" s="1"/>
  <c r="J52" i="23" s="1"/>
  <c r="J54" i="23"/>
  <c r="J51" i="23"/>
  <c r="J49" i="23"/>
  <c r="J48" i="23"/>
  <c r="J47" i="23"/>
  <c r="J46" i="23"/>
  <c r="J45" i="23"/>
  <c r="J44" i="23"/>
  <c r="J43" i="23"/>
  <c r="J42" i="23"/>
  <c r="J41" i="23"/>
  <c r="J40" i="23"/>
  <c r="J39" i="23"/>
  <c r="J38" i="23"/>
  <c r="J37" i="23"/>
  <c r="J36" i="23"/>
  <c r="J34" i="23"/>
  <c r="J33" i="23"/>
  <c r="J32" i="23"/>
  <c r="J30" i="23"/>
  <c r="J29" i="23"/>
  <c r="J28" i="23"/>
  <c r="J27" i="23"/>
  <c r="J26" i="23"/>
  <c r="J24" i="23"/>
  <c r="J23" i="23"/>
  <c r="J22" i="23"/>
  <c r="J21" i="23"/>
  <c r="J20" i="23"/>
  <c r="J19" i="23"/>
  <c r="J17" i="23"/>
  <c r="J16" i="23"/>
  <c r="J15" i="23"/>
  <c r="J14" i="23"/>
  <c r="J13" i="23"/>
  <c r="J12" i="23" s="1"/>
  <c r="J31" i="23"/>
  <c r="J25" i="23"/>
  <c r="J18" i="23"/>
  <c r="F11" i="23"/>
  <c r="G11" i="23"/>
  <c r="H11" i="23"/>
  <c r="I11" i="23"/>
  <c r="E10" i="23"/>
  <c r="E11" i="23"/>
  <c r="D23" i="30" l="1"/>
  <c r="G46" i="30"/>
  <c r="F46" i="30"/>
  <c r="D25" i="30"/>
  <c r="F48" i="30"/>
  <c r="H22" i="30"/>
  <c r="G45" i="30"/>
  <c r="H25" i="30"/>
  <c r="G22" i="30"/>
  <c r="F47" i="30"/>
  <c r="F22" i="30"/>
  <c r="D21" i="30"/>
  <c r="G49" i="30"/>
  <c r="G48" i="30"/>
  <c r="J74" i="23"/>
  <c r="J11" i="23"/>
  <c r="F10" i="23" l="1"/>
  <c r="G10" i="23"/>
  <c r="H10" i="23"/>
  <c r="I10" i="23"/>
  <c r="R49" i="61" l="1"/>
  <c r="R48" i="61"/>
  <c r="R47" i="61"/>
  <c r="R46" i="61"/>
  <c r="P45" i="61"/>
  <c r="O45" i="61"/>
  <c r="N45" i="61"/>
  <c r="M45" i="61"/>
  <c r="L45" i="61"/>
  <c r="E9" i="61" l="1"/>
  <c r="BC9" i="53"/>
  <c r="BH4" i="53"/>
  <c r="BH5" i="53"/>
  <c r="BH6" i="53"/>
  <c r="BH7" i="53"/>
  <c r="BH8" i="53"/>
  <c r="BH3" i="53"/>
  <c r="BG4" i="53"/>
  <c r="BG5" i="53"/>
  <c r="BG6" i="53"/>
  <c r="BG7" i="53"/>
  <c r="BG8" i="53"/>
  <c r="BG3" i="53"/>
  <c r="BF4" i="53"/>
  <c r="BF5" i="53"/>
  <c r="BF6" i="53"/>
  <c r="BF7" i="53"/>
  <c r="BF8" i="53"/>
  <c r="BF3" i="53"/>
  <c r="BE4" i="53"/>
  <c r="BE5" i="53"/>
  <c r="BE6" i="53"/>
  <c r="BE7" i="53"/>
  <c r="BE8" i="53"/>
  <c r="BE3" i="53"/>
  <c r="BD4" i="53"/>
  <c r="BD5" i="53"/>
  <c r="BD6" i="53"/>
  <c r="BD7" i="53"/>
  <c r="BD3" i="53"/>
  <c r="AG3" i="53"/>
  <c r="E14" i="61" l="1"/>
  <c r="E20" i="61" s="1"/>
  <c r="E15" i="61"/>
  <c r="E10" i="61"/>
  <c r="E16" i="61" s="1"/>
  <c r="E13" i="61"/>
  <c r="E19" i="61" s="1"/>
  <c r="E11" i="61"/>
  <c r="E17" i="61" s="1"/>
  <c r="E12" i="61"/>
  <c r="E18" i="61" s="1"/>
  <c r="AH8" i="53"/>
  <c r="AF8" i="53"/>
  <c r="AE8" i="53"/>
  <c r="AA7" i="53"/>
  <c r="AD7" i="53" s="1"/>
  <c r="AB7" i="53"/>
  <c r="AC7" i="53"/>
  <c r="AA8" i="53"/>
  <c r="AB8" i="53"/>
  <c r="AC8" i="53"/>
  <c r="AD4" i="53"/>
  <c r="AD5" i="53"/>
  <c r="AD6" i="53"/>
  <c r="AD3" i="53"/>
  <c r="AC4" i="53"/>
  <c r="AC5" i="53"/>
  <c r="AC6" i="53"/>
  <c r="AC3" i="53"/>
  <c r="AB4" i="53"/>
  <c r="AB5" i="53"/>
  <c r="AB6" i="53"/>
  <c r="AB3" i="53"/>
  <c r="AA4" i="53"/>
  <c r="AA5" i="53"/>
  <c r="AA6" i="53"/>
  <c r="AA3" i="53"/>
  <c r="Z4" i="53"/>
  <c r="Z5" i="53"/>
  <c r="Z7" i="53"/>
  <c r="Z8" i="53"/>
  <c r="Y8" i="53"/>
  <c r="Y4" i="53"/>
  <c r="Y5" i="53"/>
  <c r="Y6" i="53"/>
  <c r="Y7" i="53"/>
  <c r="AL71" i="53"/>
  <c r="Y3" i="53" s="1"/>
  <c r="AL72" i="53"/>
  <c r="AL73" i="53"/>
  <c r="AL74" i="53"/>
  <c r="AG8" i="53" l="1"/>
  <c r="AD8" i="53"/>
  <c r="AS71" i="53"/>
  <c r="AT71" i="53"/>
  <c r="AS72" i="53"/>
  <c r="AT72" i="53"/>
  <c r="AS73" i="53"/>
  <c r="AT73" i="53"/>
  <c r="AS74" i="53"/>
  <c r="AT74" i="53"/>
  <c r="AP65" i="53"/>
  <c r="AP66" i="53" s="1"/>
  <c r="AP67" i="53" s="1"/>
  <c r="AP68" i="53" s="1"/>
  <c r="AP69" i="53" s="1"/>
  <c r="AP70" i="53" s="1"/>
  <c r="AP71" i="53" s="1"/>
  <c r="AP72" i="53" s="1"/>
  <c r="AP73" i="53" s="1"/>
  <c r="AP74" i="53" s="1"/>
  <c r="AQ65" i="53"/>
  <c r="AQ66" i="53" s="1"/>
  <c r="AQ67" i="53" s="1"/>
  <c r="AQ68" i="53" s="1"/>
  <c r="AQ69" i="53" s="1"/>
  <c r="AQ70" i="53" s="1"/>
  <c r="AQ71" i="53" s="1"/>
  <c r="AQ72" i="53" s="1"/>
  <c r="AQ73" i="53" s="1"/>
  <c r="AQ74" i="53" s="1"/>
  <c r="AR65" i="53"/>
  <c r="AR66" i="53"/>
  <c r="AR67" i="53"/>
  <c r="AR68" i="53" s="1"/>
  <c r="AR69" i="53" s="1"/>
  <c r="AR70" i="53" s="1"/>
  <c r="AR71" i="53" s="1"/>
  <c r="AR72" i="53" s="1"/>
  <c r="AR73" i="53" s="1"/>
  <c r="AR74" i="53" s="1"/>
  <c r="AQ64" i="53"/>
  <c r="AR64" i="53"/>
  <c r="AP64" i="53"/>
  <c r="AQ63" i="53"/>
  <c r="AR63" i="53"/>
  <c r="AP63" i="53"/>
  <c r="AT3" i="53"/>
  <c r="AO4" i="53"/>
  <c r="AO5" i="53"/>
  <c r="AO6" i="53"/>
  <c r="AO7" i="53"/>
  <c r="AO8" i="53"/>
  <c r="AO9" i="53"/>
  <c r="AO10" i="53"/>
  <c r="AO11" i="53"/>
  <c r="AO12" i="53"/>
  <c r="AO13" i="53"/>
  <c r="AO14" i="53"/>
  <c r="AO15" i="53"/>
  <c r="AO16" i="53"/>
  <c r="AO17" i="53"/>
  <c r="AT17" i="53" s="1"/>
  <c r="AO18" i="53"/>
  <c r="AT18" i="53" s="1"/>
  <c r="AO19" i="53"/>
  <c r="AO20" i="53"/>
  <c r="AO21" i="53"/>
  <c r="AT21" i="53" s="1"/>
  <c r="AO22" i="53"/>
  <c r="AT22" i="53" s="1"/>
  <c r="AO23" i="53"/>
  <c r="AO24" i="53"/>
  <c r="AO25" i="53"/>
  <c r="AT25" i="53" s="1"/>
  <c r="AO26" i="53"/>
  <c r="AT26" i="53" s="1"/>
  <c r="AO27" i="53"/>
  <c r="AO28" i="53"/>
  <c r="AO29" i="53"/>
  <c r="AO30" i="53"/>
  <c r="AO31" i="53"/>
  <c r="AO32" i="53"/>
  <c r="AO33" i="53"/>
  <c r="AO34" i="53"/>
  <c r="AO35" i="53"/>
  <c r="AO36" i="53"/>
  <c r="AO37" i="53"/>
  <c r="AO38" i="53"/>
  <c r="AO39" i="53"/>
  <c r="AO40" i="53"/>
  <c r="AO41" i="53"/>
  <c r="AO42" i="53"/>
  <c r="AO43" i="53"/>
  <c r="AO44" i="53"/>
  <c r="AO45" i="53"/>
  <c r="AO46" i="53"/>
  <c r="AO47" i="53"/>
  <c r="AO48" i="53"/>
  <c r="AO49" i="53"/>
  <c r="AO50" i="53"/>
  <c r="AO51" i="53"/>
  <c r="AO52" i="53"/>
  <c r="AO53" i="53"/>
  <c r="AO54" i="53"/>
  <c r="AO55" i="53"/>
  <c r="AO56" i="53"/>
  <c r="AO57" i="53"/>
  <c r="AO58" i="53"/>
  <c r="AO59" i="53"/>
  <c r="AO60" i="53"/>
  <c r="AO61" i="53"/>
  <c r="AO62" i="53"/>
  <c r="AO63" i="53"/>
  <c r="AO64" i="53"/>
  <c r="AO65" i="53"/>
  <c r="AO66" i="53"/>
  <c r="AO67" i="53"/>
  <c r="AO68" i="53"/>
  <c r="AO69" i="53"/>
  <c r="AO70" i="53"/>
  <c r="AO71" i="53"/>
  <c r="AO72" i="53"/>
  <c r="AO73" i="53"/>
  <c r="AO74" i="53"/>
  <c r="AO3" i="53"/>
  <c r="G3" i="53"/>
  <c r="S3" i="53"/>
  <c r="AN64" i="53"/>
  <c r="AN65" i="53"/>
  <c r="AN66" i="53"/>
  <c r="AN67" i="53"/>
  <c r="AN68" i="53"/>
  <c r="AN69" i="53"/>
  <c r="AN70" i="53"/>
  <c r="AN71" i="53"/>
  <c r="AN72" i="53"/>
  <c r="AN73" i="53"/>
  <c r="AN74" i="53"/>
  <c r="AS51" i="53"/>
  <c r="AT51" i="53"/>
  <c r="AT15" i="53"/>
  <c r="AT16" i="53"/>
  <c r="AT19" i="53"/>
  <c r="AT20" i="53"/>
  <c r="AT23" i="53"/>
  <c r="AT24" i="53"/>
  <c r="R7" i="53"/>
  <c r="Q7" i="53"/>
  <c r="O4" i="53"/>
  <c r="O3" i="53"/>
  <c r="E31" i="39"/>
  <c r="N7" i="39"/>
  <c r="M7" i="39"/>
  <c r="L7" i="39"/>
  <c r="K7" i="39"/>
  <c r="E15" i="39"/>
  <c r="F15" i="39"/>
  <c r="G15" i="39"/>
  <c r="D15" i="39"/>
  <c r="H17" i="39"/>
  <c r="G16" i="39"/>
  <c r="H16" i="39" s="1"/>
  <c r="G9" i="39"/>
  <c r="G10" i="39"/>
  <c r="G11" i="39"/>
  <c r="G12" i="39"/>
  <c r="G13" i="39"/>
  <c r="G14" i="39"/>
  <c r="G8" i="39"/>
  <c r="F10" i="37"/>
  <c r="F11" i="37"/>
  <c r="H14" i="39"/>
  <c r="H12" i="39"/>
  <c r="E35" i="54"/>
  <c r="F35" i="54"/>
  <c r="G35" i="54"/>
  <c r="H35" i="54"/>
  <c r="J26" i="54"/>
  <c r="J8" i="54"/>
  <c r="J11" i="54" s="1"/>
  <c r="K24" i="54"/>
  <c r="F9" i="61" s="1"/>
  <c r="E26" i="54"/>
  <c r="E11" i="54"/>
  <c r="E32" i="30" s="1"/>
  <c r="E24" i="54"/>
  <c r="I8" i="54"/>
  <c r="I8" i="30" s="1"/>
  <c r="I16" i="54"/>
  <c r="I19" i="54" s="1"/>
  <c r="I24" i="54"/>
  <c r="I20" i="30" s="1"/>
  <c r="H16" i="54"/>
  <c r="H17" i="54" s="1"/>
  <c r="I17" i="54" s="1"/>
  <c r="J17" i="54" s="1"/>
  <c r="H8" i="54"/>
  <c r="H8" i="30" s="1"/>
  <c r="F11" i="54"/>
  <c r="F32" i="30" s="1"/>
  <c r="G11" i="54"/>
  <c r="G32" i="30" s="1"/>
  <c r="D11" i="54"/>
  <c r="D32" i="30" s="1"/>
  <c r="F19" i="54"/>
  <c r="G19" i="54"/>
  <c r="D19" i="54"/>
  <c r="F8" i="54"/>
  <c r="F8" i="30" s="1"/>
  <c r="G8" i="54"/>
  <c r="G8" i="30" s="1"/>
  <c r="D8" i="54"/>
  <c r="D8" i="30" s="1"/>
  <c r="E16" i="54"/>
  <c r="F16" i="54"/>
  <c r="G16" i="54"/>
  <c r="D16" i="54"/>
  <c r="D37" i="30" l="1"/>
  <c r="D35" i="30"/>
  <c r="D36" i="30"/>
  <c r="D34" i="30"/>
  <c r="D33" i="30"/>
  <c r="I11" i="30"/>
  <c r="I9" i="30"/>
  <c r="I12" i="30"/>
  <c r="I13" i="30"/>
  <c r="I10" i="30"/>
  <c r="G35" i="30"/>
  <c r="G37" i="30"/>
  <c r="G34" i="30"/>
  <c r="G36" i="30"/>
  <c r="G33" i="30"/>
  <c r="E8" i="54"/>
  <c r="E8" i="30" s="1"/>
  <c r="E20" i="30"/>
  <c r="D10" i="30"/>
  <c r="D13" i="30"/>
  <c r="D12" i="30"/>
  <c r="D11" i="30"/>
  <c r="D9" i="30"/>
  <c r="F34" i="30"/>
  <c r="F36" i="30"/>
  <c r="F33" i="30"/>
  <c r="F35" i="30"/>
  <c r="F37" i="30"/>
  <c r="E34" i="30"/>
  <c r="E36" i="30"/>
  <c r="E33" i="30"/>
  <c r="E35" i="30"/>
  <c r="E37" i="30"/>
  <c r="G13" i="30"/>
  <c r="G9" i="30"/>
  <c r="G12" i="30"/>
  <c r="G11" i="30"/>
  <c r="G10" i="30"/>
  <c r="H13" i="30"/>
  <c r="H11" i="30"/>
  <c r="H9" i="30"/>
  <c r="H12" i="30"/>
  <c r="H10" i="30"/>
  <c r="E19" i="54"/>
  <c r="E44" i="30"/>
  <c r="F10" i="30"/>
  <c r="F9" i="30"/>
  <c r="F12" i="30"/>
  <c r="F11" i="30"/>
  <c r="F13" i="30"/>
  <c r="F14" i="61"/>
  <c r="F20" i="61" s="1"/>
  <c r="F15" i="61"/>
  <c r="F12" i="61"/>
  <c r="F18" i="61" s="1"/>
  <c r="F10" i="61"/>
  <c r="F16" i="61" s="1"/>
  <c r="F11" i="61"/>
  <c r="F17" i="61" s="1"/>
  <c r="F13" i="61"/>
  <c r="F19" i="61" s="1"/>
  <c r="K26" i="54"/>
  <c r="H11" i="54"/>
  <c r="L24" i="54"/>
  <c r="I11" i="54"/>
  <c r="I32" i="30" s="1"/>
  <c r="I24" i="30"/>
  <c r="I23" i="30"/>
  <c r="I25" i="30"/>
  <c r="I22" i="30"/>
  <c r="I21" i="30"/>
  <c r="I18" i="54"/>
  <c r="I25" i="54" s="1"/>
  <c r="H19" i="54"/>
  <c r="D32" i="44"/>
  <c r="D31" i="44"/>
  <c r="E49" i="30" l="1"/>
  <c r="E45" i="30"/>
  <c r="E47" i="30"/>
  <c r="E48" i="30"/>
  <c r="E46" i="30"/>
  <c r="I37" i="30"/>
  <c r="I34" i="30"/>
  <c r="I36" i="30"/>
  <c r="I33" i="30"/>
  <c r="I35" i="30"/>
  <c r="M24" i="54"/>
  <c r="G9" i="61"/>
  <c r="L26" i="54"/>
  <c r="AG13" i="60"/>
  <c r="H32" i="30"/>
  <c r="E23" i="30"/>
  <c r="E25" i="30"/>
  <c r="E22" i="30"/>
  <c r="E24" i="30"/>
  <c r="E21" i="30"/>
  <c r="E10" i="30"/>
  <c r="E11" i="30"/>
  <c r="E13" i="30"/>
  <c r="E12" i="30"/>
  <c r="E9" i="30"/>
  <c r="G4" i="53"/>
  <c r="G5" i="53"/>
  <c r="G6" i="53"/>
  <c r="G7" i="53"/>
  <c r="G8" i="53"/>
  <c r="G9" i="53"/>
  <c r="G10" i="53"/>
  <c r="G11" i="53"/>
  <c r="G12" i="53"/>
  <c r="G13" i="53"/>
  <c r="G14" i="53"/>
  <c r="G15" i="53"/>
  <c r="G16" i="53"/>
  <c r="G17" i="53"/>
  <c r="G18" i="53"/>
  <c r="G19" i="53"/>
  <c r="G20" i="53"/>
  <c r="G21" i="53"/>
  <c r="G22" i="53"/>
  <c r="G23" i="53"/>
  <c r="G24" i="53"/>
  <c r="G25" i="53"/>
  <c r="G26" i="53"/>
  <c r="G27" i="53"/>
  <c r="G28" i="53"/>
  <c r="G29" i="53"/>
  <c r="G30" i="53"/>
  <c r="G31" i="53"/>
  <c r="G32" i="53"/>
  <c r="G33" i="53"/>
  <c r="G34" i="53"/>
  <c r="G35" i="53"/>
  <c r="G36" i="53"/>
  <c r="G37" i="53"/>
  <c r="G38" i="53"/>
  <c r="G39" i="53"/>
  <c r="G40" i="53"/>
  <c r="G41" i="53"/>
  <c r="G42" i="53"/>
  <c r="G43" i="53"/>
  <c r="G44" i="53"/>
  <c r="G45" i="53"/>
  <c r="G46" i="53"/>
  <c r="G47" i="53"/>
  <c r="G48" i="53"/>
  <c r="G49" i="53"/>
  <c r="G50" i="53"/>
  <c r="G51" i="53"/>
  <c r="G52" i="53"/>
  <c r="G53" i="53"/>
  <c r="G54" i="53"/>
  <c r="G55" i="53"/>
  <c r="G56" i="53"/>
  <c r="G57" i="53"/>
  <c r="G58" i="53"/>
  <c r="G59" i="53"/>
  <c r="G60" i="53"/>
  <c r="G61" i="53"/>
  <c r="G62" i="53"/>
  <c r="G63" i="53"/>
  <c r="G64" i="53"/>
  <c r="G65" i="53"/>
  <c r="G66" i="53"/>
  <c r="G67" i="53"/>
  <c r="G68" i="53"/>
  <c r="G69" i="53"/>
  <c r="G70" i="53"/>
  <c r="G71" i="53"/>
  <c r="G72" i="53"/>
  <c r="G73" i="53"/>
  <c r="G74" i="53"/>
  <c r="G75" i="53"/>
  <c r="G76" i="53"/>
  <c r="G77" i="53"/>
  <c r="G78" i="53"/>
  <c r="G79" i="53"/>
  <c r="G80" i="53"/>
  <c r="G81" i="53"/>
  <c r="G82" i="53"/>
  <c r="G83" i="53"/>
  <c r="G84" i="53"/>
  <c r="G85" i="53"/>
  <c r="G86" i="53"/>
  <c r="G87" i="53"/>
  <c r="G88" i="53"/>
  <c r="G89" i="53"/>
  <c r="G90" i="53"/>
  <c r="G91" i="53"/>
  <c r="G92" i="53"/>
  <c r="G93" i="53"/>
  <c r="G94" i="53"/>
  <c r="G95" i="53"/>
  <c r="G96" i="53"/>
  <c r="G97" i="53"/>
  <c r="G98" i="53"/>
  <c r="G99" i="53"/>
  <c r="G100" i="53"/>
  <c r="G101" i="53"/>
  <c r="G102" i="53"/>
  <c r="G103" i="53"/>
  <c r="G104" i="53"/>
  <c r="G105" i="53"/>
  <c r="G106" i="53"/>
  <c r="G107" i="53"/>
  <c r="G108" i="53"/>
  <c r="G109" i="53"/>
  <c r="G110" i="53"/>
  <c r="G111" i="53"/>
  <c r="G112" i="53"/>
  <c r="G113" i="53"/>
  <c r="G114" i="53"/>
  <c r="G115" i="53"/>
  <c r="G116" i="53"/>
  <c r="G117" i="53"/>
  <c r="G118" i="53"/>
  <c r="G119" i="53"/>
  <c r="G120" i="53"/>
  <c r="G121" i="53"/>
  <c r="G122" i="53"/>
  <c r="G123" i="53"/>
  <c r="G124" i="53"/>
  <c r="G125" i="53"/>
  <c r="G126" i="53"/>
  <c r="G127" i="53"/>
  <c r="G128" i="53"/>
  <c r="G129" i="53"/>
  <c r="G130" i="53"/>
  <c r="G131" i="53"/>
  <c r="G132" i="53"/>
  <c r="G133" i="53"/>
  <c r="G134" i="53"/>
  <c r="G135" i="53"/>
  <c r="G136" i="53"/>
  <c r="G137" i="53"/>
  <c r="G138" i="53"/>
  <c r="G139" i="53"/>
  <c r="G140" i="53"/>
  <c r="G141" i="53"/>
  <c r="G142" i="53"/>
  <c r="G143" i="53"/>
  <c r="G144" i="53"/>
  <c r="G145" i="53"/>
  <c r="G146" i="53"/>
  <c r="G147" i="53"/>
  <c r="G148" i="53"/>
  <c r="G149" i="53"/>
  <c r="G150" i="53"/>
  <c r="G151" i="53"/>
  <c r="G152" i="53"/>
  <c r="G153" i="53"/>
  <c r="G154" i="53"/>
  <c r="G155" i="53"/>
  <c r="G156" i="53"/>
  <c r="G157" i="53"/>
  <c r="G158" i="53"/>
  <c r="G159" i="53"/>
  <c r="G160" i="53"/>
  <c r="G161" i="53"/>
  <c r="G162" i="53"/>
  <c r="G163" i="53"/>
  <c r="G164" i="53"/>
  <c r="G165" i="53"/>
  <c r="G166" i="53"/>
  <c r="G167" i="53"/>
  <c r="G168" i="53"/>
  <c r="G169" i="53"/>
  <c r="G170" i="53"/>
  <c r="G171" i="53"/>
  <c r="G172" i="53"/>
  <c r="G173" i="53"/>
  <c r="G174" i="53"/>
  <c r="G175" i="53"/>
  <c r="G176" i="53"/>
  <c r="G177" i="53"/>
  <c r="G178" i="53"/>
  <c r="G179" i="53"/>
  <c r="G180" i="53"/>
  <c r="G181" i="53"/>
  <c r="G182" i="53"/>
  <c r="G183" i="53"/>
  <c r="G184" i="53"/>
  <c r="G185" i="53"/>
  <c r="G186" i="53"/>
  <c r="G187" i="53"/>
  <c r="G188" i="53"/>
  <c r="G189" i="53"/>
  <c r="G190" i="53"/>
  <c r="G191" i="53"/>
  <c r="G192" i="53"/>
  <c r="G193" i="53"/>
  <c r="G194" i="53"/>
  <c r="G195" i="53"/>
  <c r="G196" i="53"/>
  <c r="G197" i="53"/>
  <c r="G198" i="53"/>
  <c r="G199" i="53"/>
  <c r="G200" i="53"/>
  <c r="G201" i="53"/>
  <c r="G202" i="53"/>
  <c r="G203" i="53"/>
  <c r="G204" i="53"/>
  <c r="G205" i="53"/>
  <c r="G206" i="53"/>
  <c r="G207" i="53"/>
  <c r="G208" i="53"/>
  <c r="G209" i="53"/>
  <c r="G210" i="53"/>
  <c r="G211" i="53"/>
  <c r="G212" i="53"/>
  <c r="G213" i="53"/>
  <c r="G214" i="53"/>
  <c r="G215" i="53"/>
  <c r="G216" i="53"/>
  <c r="G217" i="53"/>
  <c r="G218" i="53"/>
  <c r="G219" i="53"/>
  <c r="G220" i="53"/>
  <c r="G221" i="53"/>
  <c r="G222" i="53"/>
  <c r="G223" i="53"/>
  <c r="G224" i="53"/>
  <c r="G225" i="53"/>
  <c r="G226" i="53"/>
  <c r="G227" i="53"/>
  <c r="G228" i="53"/>
  <c r="G229" i="53"/>
  <c r="G230" i="53"/>
  <c r="G231" i="53"/>
  <c r="G232" i="53"/>
  <c r="G233" i="53"/>
  <c r="G234" i="53"/>
  <c r="G235" i="53"/>
  <c r="G236" i="53"/>
  <c r="G237" i="53"/>
  <c r="G238" i="53"/>
  <c r="G239" i="53"/>
  <c r="G240" i="53"/>
  <c r="G241" i="53"/>
  <c r="G242" i="53"/>
  <c r="G243" i="53"/>
  <c r="G244" i="53"/>
  <c r="G245" i="53"/>
  <c r="G246" i="53"/>
  <c r="G247" i="53"/>
  <c r="G248" i="53"/>
  <c r="G249" i="53"/>
  <c r="G250" i="53"/>
  <c r="G251" i="53"/>
  <c r="G252" i="53"/>
  <c r="G253" i="53"/>
  <c r="G254" i="53"/>
  <c r="G255" i="53"/>
  <c r="G256" i="53"/>
  <c r="G257" i="53"/>
  <c r="G258" i="53"/>
  <c r="G259" i="53"/>
  <c r="G260" i="53"/>
  <c r="G261" i="53"/>
  <c r="G262" i="53"/>
  <c r="G263" i="53"/>
  <c r="G264" i="53"/>
  <c r="G265" i="53"/>
  <c r="G266" i="53"/>
  <c r="G267" i="53"/>
  <c r="G268" i="53"/>
  <c r="G269" i="53"/>
  <c r="G270" i="53"/>
  <c r="G271" i="53"/>
  <c r="G272" i="53"/>
  <c r="G273" i="53"/>
  <c r="G274" i="53"/>
  <c r="G275" i="53"/>
  <c r="G276" i="53"/>
  <c r="G277" i="53"/>
  <c r="G278" i="53"/>
  <c r="G279" i="53"/>
  <c r="G280" i="53"/>
  <c r="G281" i="53"/>
  <c r="G282" i="53"/>
  <c r="G283" i="53"/>
  <c r="G284" i="53"/>
  <c r="G285" i="53"/>
  <c r="G286" i="53"/>
  <c r="G287" i="53"/>
  <c r="G288" i="53"/>
  <c r="G289" i="53"/>
  <c r="G290" i="53"/>
  <c r="G291" i="53"/>
  <c r="G292" i="53"/>
  <c r="G293" i="53"/>
  <c r="G294" i="53"/>
  <c r="G295" i="53"/>
  <c r="G296" i="53"/>
  <c r="G297" i="53"/>
  <c r="G298" i="53"/>
  <c r="G299" i="53"/>
  <c r="G300" i="53"/>
  <c r="G301" i="53"/>
  <c r="G302" i="53"/>
  <c r="G303" i="53"/>
  <c r="G304" i="53"/>
  <c r="G305" i="53"/>
  <c r="G306" i="53"/>
  <c r="G307" i="53"/>
  <c r="G308" i="53"/>
  <c r="G309" i="53"/>
  <c r="G310" i="53"/>
  <c r="G311" i="53"/>
  <c r="G312" i="53"/>
  <c r="G313" i="53"/>
  <c r="G314" i="53"/>
  <c r="G315" i="53"/>
  <c r="G316" i="53"/>
  <c r="G317" i="53"/>
  <c r="G318" i="53"/>
  <c r="G319" i="53"/>
  <c r="G320" i="53"/>
  <c r="G321" i="53"/>
  <c r="G322" i="53"/>
  <c r="G323" i="53"/>
  <c r="G324" i="53"/>
  <c r="G325" i="53"/>
  <c r="G326" i="53"/>
  <c r="G327" i="53"/>
  <c r="G328" i="53"/>
  <c r="G329" i="53"/>
  <c r="G330" i="53"/>
  <c r="G331" i="53"/>
  <c r="G332" i="53"/>
  <c r="G333" i="53"/>
  <c r="G334" i="53"/>
  <c r="G335" i="53"/>
  <c r="G336" i="53"/>
  <c r="G337" i="53"/>
  <c r="G338" i="53"/>
  <c r="G339" i="53"/>
  <c r="G340" i="53"/>
  <c r="G341" i="53"/>
  <c r="G342" i="53"/>
  <c r="G343" i="53"/>
  <c r="G344" i="53"/>
  <c r="G345" i="53"/>
  <c r="G346" i="53"/>
  <c r="G347" i="53"/>
  <c r="G348" i="53"/>
  <c r="G349" i="53"/>
  <c r="G350" i="53"/>
  <c r="G351" i="53"/>
  <c r="G352" i="53"/>
  <c r="G353" i="53"/>
  <c r="G354" i="53"/>
  <c r="G355" i="53"/>
  <c r="G356" i="53"/>
  <c r="G357" i="53"/>
  <c r="G358" i="53"/>
  <c r="G359" i="53"/>
  <c r="G360" i="53"/>
  <c r="G361" i="53"/>
  <c r="G362" i="53"/>
  <c r="G363" i="53"/>
  <c r="G364" i="53"/>
  <c r="G365" i="53"/>
  <c r="G366" i="53"/>
  <c r="G367" i="53"/>
  <c r="G368" i="53"/>
  <c r="G369" i="53"/>
  <c r="G370" i="53"/>
  <c r="G371" i="53"/>
  <c r="G372" i="53"/>
  <c r="G373" i="53"/>
  <c r="G374" i="53"/>
  <c r="G375" i="53"/>
  <c r="G376" i="53"/>
  <c r="G377" i="53"/>
  <c r="G378" i="53"/>
  <c r="G379" i="53"/>
  <c r="G380" i="53"/>
  <c r="G381" i="53"/>
  <c r="G382" i="53"/>
  <c r="G383" i="53"/>
  <c r="G384" i="53"/>
  <c r="G385" i="53"/>
  <c r="G386" i="53"/>
  <c r="G387" i="53"/>
  <c r="G388" i="53"/>
  <c r="G389" i="53"/>
  <c r="G390" i="53"/>
  <c r="G391" i="53"/>
  <c r="G392" i="53"/>
  <c r="G393" i="53"/>
  <c r="G394" i="53"/>
  <c r="G395" i="53"/>
  <c r="G396" i="53"/>
  <c r="G397" i="53"/>
  <c r="G398" i="53"/>
  <c r="G399" i="53"/>
  <c r="G400" i="53"/>
  <c r="G401" i="53"/>
  <c r="G402" i="53"/>
  <c r="G403" i="53"/>
  <c r="G404" i="53"/>
  <c r="G405" i="53"/>
  <c r="G406" i="53"/>
  <c r="G407" i="53"/>
  <c r="G408" i="53"/>
  <c r="G409" i="53"/>
  <c r="G410" i="53"/>
  <c r="G411" i="53"/>
  <c r="G412" i="53"/>
  <c r="G413" i="53"/>
  <c r="G414" i="53"/>
  <c r="G415" i="53"/>
  <c r="G416" i="53"/>
  <c r="G417" i="53"/>
  <c r="G418" i="53"/>
  <c r="G419" i="53"/>
  <c r="G420" i="53"/>
  <c r="G421" i="53"/>
  <c r="G422" i="53"/>
  <c r="G423" i="53"/>
  <c r="G424" i="53"/>
  <c r="G425" i="53"/>
  <c r="G426" i="53"/>
  <c r="G427" i="53"/>
  <c r="G428" i="53"/>
  <c r="G429" i="53"/>
  <c r="G430" i="53"/>
  <c r="G431" i="53"/>
  <c r="G432" i="53"/>
  <c r="G433" i="53"/>
  <c r="G434" i="53"/>
  <c r="G435" i="53"/>
  <c r="G436" i="53"/>
  <c r="G437" i="53"/>
  <c r="G438" i="53"/>
  <c r="G439" i="53"/>
  <c r="G440" i="53"/>
  <c r="G441" i="53"/>
  <c r="G442" i="53"/>
  <c r="G443" i="53"/>
  <c r="G444" i="53"/>
  <c r="G445" i="53"/>
  <c r="G446" i="53"/>
  <c r="G447" i="53"/>
  <c r="G448" i="53"/>
  <c r="G449" i="53"/>
  <c r="G450" i="53"/>
  <c r="G451" i="53"/>
  <c r="G452" i="53"/>
  <c r="G453" i="53"/>
  <c r="G454" i="53"/>
  <c r="G455" i="53"/>
  <c r="G456" i="53"/>
  <c r="G457" i="53"/>
  <c r="G458" i="53"/>
  <c r="G459" i="53"/>
  <c r="G460" i="53"/>
  <c r="G461" i="53"/>
  <c r="G462" i="53"/>
  <c r="G463" i="53"/>
  <c r="G464" i="53"/>
  <c r="G465" i="53"/>
  <c r="G466" i="53"/>
  <c r="G467" i="53"/>
  <c r="G468" i="53"/>
  <c r="G469" i="53"/>
  <c r="G470" i="53"/>
  <c r="G471" i="53"/>
  <c r="G472" i="53"/>
  <c r="G473" i="53"/>
  <c r="G474" i="53"/>
  <c r="G475" i="53"/>
  <c r="G476" i="53"/>
  <c r="G477" i="53"/>
  <c r="G478" i="53"/>
  <c r="G479" i="53"/>
  <c r="G480" i="53"/>
  <c r="G481" i="53"/>
  <c r="G482" i="53"/>
  <c r="G483" i="53"/>
  <c r="G484" i="53"/>
  <c r="G485" i="53"/>
  <c r="G486" i="53"/>
  <c r="G487" i="53"/>
  <c r="G488" i="53"/>
  <c r="G489" i="53"/>
  <c r="G490" i="53"/>
  <c r="G491" i="53"/>
  <c r="G492" i="53"/>
  <c r="G493" i="53"/>
  <c r="G494" i="53"/>
  <c r="G495" i="53"/>
  <c r="G496" i="53"/>
  <c r="G497" i="53"/>
  <c r="G498" i="53"/>
  <c r="G499" i="53"/>
  <c r="G500" i="53"/>
  <c r="G501" i="53"/>
  <c r="G502" i="53"/>
  <c r="G503" i="53"/>
  <c r="G504" i="53"/>
  <c r="G505" i="53"/>
  <c r="G506" i="53"/>
  <c r="G507" i="53"/>
  <c r="G508" i="53"/>
  <c r="G509" i="53"/>
  <c r="G510" i="53"/>
  <c r="G511" i="53"/>
  <c r="G512" i="53"/>
  <c r="G513" i="53"/>
  <c r="G514" i="53"/>
  <c r="G515" i="53"/>
  <c r="G516" i="53"/>
  <c r="G517" i="53"/>
  <c r="G518" i="53"/>
  <c r="G519" i="53"/>
  <c r="G520" i="53"/>
  <c r="G521" i="53"/>
  <c r="G522" i="53"/>
  <c r="G523" i="53"/>
  <c r="G524" i="53"/>
  <c r="G525" i="53"/>
  <c r="G526" i="53"/>
  <c r="G527" i="53"/>
  <c r="G528" i="53"/>
  <c r="G529" i="53"/>
  <c r="G530" i="53"/>
  <c r="G531" i="53"/>
  <c r="G532" i="53"/>
  <c r="G533" i="53"/>
  <c r="G534" i="53"/>
  <c r="G535" i="53"/>
  <c r="G536" i="53"/>
  <c r="G537" i="53"/>
  <c r="G538" i="53"/>
  <c r="G539" i="53"/>
  <c r="G540" i="53"/>
  <c r="G541" i="53"/>
  <c r="G542" i="53"/>
  <c r="G543" i="53"/>
  <c r="G544" i="53"/>
  <c r="G545" i="53"/>
  <c r="G546" i="53"/>
  <c r="G547" i="53"/>
  <c r="G548" i="53"/>
  <c r="G549" i="53"/>
  <c r="G550" i="53"/>
  <c r="G551" i="53"/>
  <c r="G552" i="53"/>
  <c r="G553" i="53"/>
  <c r="G554" i="53"/>
  <c r="G555" i="53"/>
  <c r="G556" i="53"/>
  <c r="G557" i="53"/>
  <c r="G558" i="53"/>
  <c r="G559" i="53"/>
  <c r="G560" i="53"/>
  <c r="G561" i="53"/>
  <c r="G562" i="53"/>
  <c r="G563" i="53"/>
  <c r="G564" i="53"/>
  <c r="G565" i="53"/>
  <c r="G566" i="53"/>
  <c r="G567" i="53"/>
  <c r="G568" i="53"/>
  <c r="G569" i="53"/>
  <c r="G570" i="53"/>
  <c r="G571" i="53"/>
  <c r="G572" i="53"/>
  <c r="G573" i="53"/>
  <c r="G574" i="53"/>
  <c r="G575" i="53"/>
  <c r="G576" i="53"/>
  <c r="G577" i="53"/>
  <c r="G578" i="53"/>
  <c r="G579" i="53"/>
  <c r="G580" i="53"/>
  <c r="G581" i="53"/>
  <c r="G582" i="53"/>
  <c r="G583" i="53"/>
  <c r="G584" i="53"/>
  <c r="G585" i="53"/>
  <c r="G586" i="53"/>
  <c r="G587" i="53"/>
  <c r="G588" i="53"/>
  <c r="G589" i="53"/>
  <c r="G590" i="53"/>
  <c r="G591" i="53"/>
  <c r="G592" i="53"/>
  <c r="G593" i="53"/>
  <c r="G594" i="53"/>
  <c r="G595" i="53"/>
  <c r="G596" i="53"/>
  <c r="G597" i="53"/>
  <c r="G598" i="53"/>
  <c r="G599" i="53"/>
  <c r="G600" i="53"/>
  <c r="G601" i="53"/>
  <c r="G602" i="53"/>
  <c r="G603" i="53"/>
  <c r="G604" i="53"/>
  <c r="G605" i="53"/>
  <c r="G606" i="53"/>
  <c r="G607" i="53"/>
  <c r="G608" i="53"/>
  <c r="G609" i="53"/>
  <c r="G610" i="53"/>
  <c r="G611" i="53"/>
  <c r="G612" i="53"/>
  <c r="G613" i="53"/>
  <c r="G614" i="53"/>
  <c r="G615" i="53"/>
  <c r="G616" i="53"/>
  <c r="G617" i="53"/>
  <c r="G618" i="53"/>
  <c r="G619" i="53"/>
  <c r="G620" i="53"/>
  <c r="G621" i="53"/>
  <c r="G622" i="53"/>
  <c r="G623" i="53"/>
  <c r="G624" i="53"/>
  <c r="G625" i="53"/>
  <c r="G626" i="53"/>
  <c r="G627" i="53"/>
  <c r="G628" i="53"/>
  <c r="G629" i="53"/>
  <c r="G630" i="53"/>
  <c r="G631" i="53"/>
  <c r="G632" i="53"/>
  <c r="G633" i="53"/>
  <c r="G634" i="53"/>
  <c r="G635" i="53"/>
  <c r="G636" i="53"/>
  <c r="G637" i="53"/>
  <c r="G638" i="53"/>
  <c r="G639" i="53"/>
  <c r="G640" i="53"/>
  <c r="G641" i="53"/>
  <c r="G642" i="53"/>
  <c r="G643" i="53"/>
  <c r="G644" i="53"/>
  <c r="G645" i="53"/>
  <c r="G646" i="53"/>
  <c r="G647" i="53"/>
  <c r="G648" i="53"/>
  <c r="G649" i="53"/>
  <c r="G650" i="53"/>
  <c r="G651" i="53"/>
  <c r="G652" i="53"/>
  <c r="G653" i="53"/>
  <c r="G654" i="53"/>
  <c r="G655" i="53"/>
  <c r="G656" i="53"/>
  <c r="G657" i="53"/>
  <c r="G658" i="53"/>
  <c r="G659" i="53"/>
  <c r="G660" i="53"/>
  <c r="G661" i="53"/>
  <c r="G662" i="53"/>
  <c r="G663" i="53"/>
  <c r="G664" i="53"/>
  <c r="G665" i="53"/>
  <c r="G666" i="53"/>
  <c r="G667" i="53"/>
  <c r="G668" i="53"/>
  <c r="G669" i="53"/>
  <c r="G670" i="53"/>
  <c r="G671" i="53"/>
  <c r="G672" i="53"/>
  <c r="G673" i="53"/>
  <c r="G674" i="53"/>
  <c r="G675" i="53"/>
  <c r="G676" i="53"/>
  <c r="G677" i="53"/>
  <c r="G678" i="53"/>
  <c r="G679" i="53"/>
  <c r="G680" i="53"/>
  <c r="G681" i="53"/>
  <c r="G682" i="53"/>
  <c r="G683" i="53"/>
  <c r="G684" i="53"/>
  <c r="G685" i="53"/>
  <c r="G686" i="53"/>
  <c r="G687" i="53"/>
  <c r="G688" i="53"/>
  <c r="G689" i="53"/>
  <c r="G690" i="53"/>
  <c r="G691" i="53"/>
  <c r="G692" i="53"/>
  <c r="G693" i="53"/>
  <c r="G694" i="53"/>
  <c r="G695" i="53"/>
  <c r="G696" i="53"/>
  <c r="G697" i="53"/>
  <c r="G698" i="53"/>
  <c r="G699" i="53"/>
  <c r="G700" i="53"/>
  <c r="G701" i="53"/>
  <c r="G702" i="53"/>
  <c r="G703" i="53"/>
  <c r="G704" i="53"/>
  <c r="G705" i="53"/>
  <c r="G706" i="53"/>
  <c r="G707" i="53"/>
  <c r="G708" i="53"/>
  <c r="G709" i="53"/>
  <c r="G710" i="53"/>
  <c r="G711" i="53"/>
  <c r="G712" i="53"/>
  <c r="G713" i="53"/>
  <c r="G714" i="53"/>
  <c r="G715" i="53"/>
  <c r="G716" i="53"/>
  <c r="G717" i="53"/>
  <c r="G718" i="53"/>
  <c r="G719" i="53"/>
  <c r="G720" i="53"/>
  <c r="G721" i="53"/>
  <c r="G722" i="53"/>
  <c r="G723" i="53"/>
  <c r="G724" i="53"/>
  <c r="G725" i="53"/>
  <c r="G726" i="53"/>
  <c r="G727" i="53"/>
  <c r="G728" i="53"/>
  <c r="G729" i="53"/>
  <c r="G730" i="53"/>
  <c r="G731" i="53"/>
  <c r="G732" i="53"/>
  <c r="G733" i="53"/>
  <c r="G734" i="53"/>
  <c r="G735" i="53"/>
  <c r="G736" i="53"/>
  <c r="G737" i="53"/>
  <c r="G738" i="53"/>
  <c r="G739" i="53"/>
  <c r="G740" i="53"/>
  <c r="G741" i="53"/>
  <c r="G742" i="53"/>
  <c r="G743" i="53"/>
  <c r="G744" i="53"/>
  <c r="G745" i="53"/>
  <c r="G746" i="53"/>
  <c r="G747" i="53"/>
  <c r="G748" i="53"/>
  <c r="G749" i="53"/>
  <c r="G750" i="53"/>
  <c r="G751" i="53"/>
  <c r="G752" i="53"/>
  <c r="G753" i="53"/>
  <c r="G754" i="53"/>
  <c r="G755" i="53"/>
  <c r="G756" i="53"/>
  <c r="G757" i="53"/>
  <c r="G758" i="53"/>
  <c r="G759" i="53"/>
  <c r="G760" i="53"/>
  <c r="G761" i="53"/>
  <c r="G762" i="53"/>
  <c r="G763" i="53"/>
  <c r="G764" i="53"/>
  <c r="G765" i="53"/>
  <c r="G766" i="53"/>
  <c r="G767" i="53"/>
  <c r="G768" i="53"/>
  <c r="G769" i="53"/>
  <c r="G770" i="53"/>
  <c r="G771" i="53"/>
  <c r="G772" i="53"/>
  <c r="G773" i="53"/>
  <c r="G774" i="53"/>
  <c r="G775" i="53"/>
  <c r="G776" i="53"/>
  <c r="G777" i="53"/>
  <c r="G778" i="53"/>
  <c r="G779" i="53"/>
  <c r="G780" i="53"/>
  <c r="G781" i="53"/>
  <c r="G782" i="53"/>
  <c r="G783" i="53"/>
  <c r="G784" i="53"/>
  <c r="G785" i="53"/>
  <c r="G786" i="53"/>
  <c r="G787" i="53"/>
  <c r="G788" i="53"/>
  <c r="G789" i="53"/>
  <c r="G790" i="53"/>
  <c r="G791" i="53"/>
  <c r="G792" i="53"/>
  <c r="G793" i="53"/>
  <c r="G794" i="53"/>
  <c r="G795" i="53"/>
  <c r="G796" i="53"/>
  <c r="G797" i="53"/>
  <c r="G798" i="53"/>
  <c r="G799" i="53"/>
  <c r="G800" i="53"/>
  <c r="G801" i="53"/>
  <c r="G802" i="53"/>
  <c r="G803" i="53"/>
  <c r="G804" i="53"/>
  <c r="G805" i="53"/>
  <c r="G806" i="53"/>
  <c r="G807" i="53"/>
  <c r="G808" i="53"/>
  <c r="G809" i="53"/>
  <c r="G810" i="53"/>
  <c r="G811" i="53"/>
  <c r="G812" i="53"/>
  <c r="G813" i="53"/>
  <c r="G814" i="53"/>
  <c r="G815" i="53"/>
  <c r="G816" i="53"/>
  <c r="G817" i="53"/>
  <c r="G818" i="53"/>
  <c r="G819" i="53"/>
  <c r="G820" i="53"/>
  <c r="G821" i="53"/>
  <c r="G822" i="53"/>
  <c r="G823" i="53"/>
  <c r="G824" i="53"/>
  <c r="G825" i="53"/>
  <c r="G826" i="53"/>
  <c r="G827" i="53"/>
  <c r="G828" i="53"/>
  <c r="G829" i="53"/>
  <c r="G830" i="53"/>
  <c r="G831" i="53"/>
  <c r="G832" i="53"/>
  <c r="G833" i="53"/>
  <c r="G834" i="53"/>
  <c r="G835" i="53"/>
  <c r="G836" i="53"/>
  <c r="G837" i="53"/>
  <c r="G838" i="53"/>
  <c r="G839" i="53"/>
  <c r="G840" i="53"/>
  <c r="G841" i="53"/>
  <c r="G842" i="53"/>
  <c r="G843" i="53"/>
  <c r="G844" i="53"/>
  <c r="G845" i="53"/>
  <c r="G846" i="53"/>
  <c r="G847" i="53"/>
  <c r="G848" i="53"/>
  <c r="G849" i="53"/>
  <c r="G850" i="53"/>
  <c r="G851" i="53"/>
  <c r="G852" i="53"/>
  <c r="G853" i="53"/>
  <c r="G854" i="53"/>
  <c r="G855" i="53"/>
  <c r="G856" i="53"/>
  <c r="G857" i="53"/>
  <c r="G858" i="53"/>
  <c r="G859" i="53"/>
  <c r="G860" i="53"/>
  <c r="G861" i="53"/>
  <c r="G862" i="53"/>
  <c r="G863" i="53"/>
  <c r="G864" i="53"/>
  <c r="G865" i="53"/>
  <c r="G866" i="53"/>
  <c r="G867" i="53"/>
  <c r="G868" i="53"/>
  <c r="G869" i="53"/>
  <c r="G870" i="53"/>
  <c r="G871" i="53"/>
  <c r="G872" i="53"/>
  <c r="G873" i="53"/>
  <c r="G874" i="53"/>
  <c r="G875" i="53"/>
  <c r="G876" i="53"/>
  <c r="G877" i="53"/>
  <c r="G878" i="53"/>
  <c r="G879" i="53"/>
  <c r="G880" i="53"/>
  <c r="G881" i="53"/>
  <c r="G882" i="53"/>
  <c r="G883" i="53"/>
  <c r="G884" i="53"/>
  <c r="G885" i="53"/>
  <c r="G886" i="53"/>
  <c r="G887" i="53"/>
  <c r="G888" i="53"/>
  <c r="G889" i="53"/>
  <c r="G890" i="53"/>
  <c r="G891" i="53"/>
  <c r="G892" i="53"/>
  <c r="G893" i="53"/>
  <c r="G894" i="53"/>
  <c r="G895" i="53"/>
  <c r="G896" i="53"/>
  <c r="G897" i="53"/>
  <c r="G898" i="53"/>
  <c r="G899" i="53"/>
  <c r="G900" i="53"/>
  <c r="G901" i="53"/>
  <c r="G902" i="53"/>
  <c r="G903" i="53"/>
  <c r="G904" i="53"/>
  <c r="G905" i="53"/>
  <c r="G906" i="53"/>
  <c r="G907" i="53"/>
  <c r="G908" i="53"/>
  <c r="G909" i="53"/>
  <c r="G910" i="53"/>
  <c r="G911" i="53"/>
  <c r="G912" i="53"/>
  <c r="G913" i="53"/>
  <c r="G914" i="53"/>
  <c r="G915" i="53"/>
  <c r="G916" i="53"/>
  <c r="G917" i="53"/>
  <c r="G918" i="53"/>
  <c r="G919" i="53"/>
  <c r="G920" i="53"/>
  <c r="G921" i="53"/>
  <c r="G922" i="53"/>
  <c r="G923" i="53"/>
  <c r="G924" i="53"/>
  <c r="G925" i="53"/>
  <c r="G926" i="53"/>
  <c r="G927" i="53"/>
  <c r="G928" i="53"/>
  <c r="G929" i="53"/>
  <c r="G930" i="53"/>
  <c r="G931" i="53"/>
  <c r="G932" i="53"/>
  <c r="G933" i="53"/>
  <c r="G934" i="53"/>
  <c r="G935" i="53"/>
  <c r="G936" i="53"/>
  <c r="G937" i="53"/>
  <c r="G938" i="53"/>
  <c r="G939" i="53"/>
  <c r="G940" i="53"/>
  <c r="G941" i="53"/>
  <c r="G942" i="53"/>
  <c r="G943" i="53"/>
  <c r="G944" i="53"/>
  <c r="G945" i="53"/>
  <c r="G946" i="53"/>
  <c r="G947" i="53"/>
  <c r="G948" i="53"/>
  <c r="G949" i="53"/>
  <c r="G950" i="53"/>
  <c r="G951" i="53"/>
  <c r="G952" i="53"/>
  <c r="G953" i="53"/>
  <c r="G954" i="53"/>
  <c r="G955" i="53"/>
  <c r="G956" i="53"/>
  <c r="G957" i="53"/>
  <c r="G958" i="53"/>
  <c r="G959" i="53"/>
  <c r="G960" i="53"/>
  <c r="G961" i="53"/>
  <c r="G962" i="53"/>
  <c r="G963" i="53"/>
  <c r="G964" i="53"/>
  <c r="G965" i="53"/>
  <c r="G966" i="53"/>
  <c r="G967" i="53"/>
  <c r="G968" i="53"/>
  <c r="G969" i="53"/>
  <c r="G970" i="53"/>
  <c r="G971" i="53"/>
  <c r="G972" i="53"/>
  <c r="G973" i="53"/>
  <c r="G974" i="53"/>
  <c r="G975" i="53"/>
  <c r="G976" i="53"/>
  <c r="G977" i="53"/>
  <c r="G978" i="53"/>
  <c r="G979" i="53"/>
  <c r="G980" i="53"/>
  <c r="G981" i="53"/>
  <c r="G982" i="53"/>
  <c r="G983" i="53"/>
  <c r="G984" i="53"/>
  <c r="G985" i="53"/>
  <c r="G986" i="53"/>
  <c r="G987" i="53"/>
  <c r="G988" i="53"/>
  <c r="G989" i="53"/>
  <c r="G990" i="53"/>
  <c r="G991" i="53"/>
  <c r="G992" i="53"/>
  <c r="G993" i="53"/>
  <c r="G994" i="53"/>
  <c r="G995" i="53"/>
  <c r="G996" i="53"/>
  <c r="G997" i="53"/>
  <c r="G998" i="53"/>
  <c r="G999" i="53"/>
  <c r="G1000" i="53"/>
  <c r="G1001" i="53"/>
  <c r="G1002" i="53"/>
  <c r="G1003" i="53"/>
  <c r="G1004" i="53"/>
  <c r="G1005" i="53"/>
  <c r="G1006" i="53"/>
  <c r="G1007" i="53"/>
  <c r="G1008" i="53"/>
  <c r="G1009" i="53"/>
  <c r="G1010" i="53"/>
  <c r="G1011" i="53"/>
  <c r="G1012" i="53"/>
  <c r="G1013" i="53"/>
  <c r="G1014" i="53"/>
  <c r="G1015" i="53"/>
  <c r="G1016" i="53"/>
  <c r="G1017" i="53"/>
  <c r="G1018" i="53"/>
  <c r="G1019" i="53"/>
  <c r="G1020" i="53"/>
  <c r="G1021" i="53"/>
  <c r="G1022" i="53"/>
  <c r="G1023" i="53"/>
  <c r="G1024" i="53"/>
  <c r="G1025" i="53"/>
  <c r="G1026" i="53"/>
  <c r="G1027" i="53"/>
  <c r="G1028" i="53"/>
  <c r="G1029" i="53"/>
  <c r="G1030" i="53"/>
  <c r="G1031" i="53"/>
  <c r="G1032" i="53"/>
  <c r="G1033" i="53"/>
  <c r="G1034" i="53"/>
  <c r="G1035" i="53"/>
  <c r="G1036" i="53"/>
  <c r="G1037" i="53"/>
  <c r="G1038" i="53"/>
  <c r="G1039" i="53"/>
  <c r="G1040" i="53"/>
  <c r="G1041" i="53"/>
  <c r="G1042" i="53"/>
  <c r="G1043" i="53"/>
  <c r="G1044" i="53"/>
  <c r="G1045" i="53"/>
  <c r="G1046" i="53"/>
  <c r="G1047" i="53"/>
  <c r="G1048" i="53"/>
  <c r="G1049" i="53"/>
  <c r="G1050" i="53"/>
  <c r="G1051" i="53"/>
  <c r="G1052" i="53"/>
  <c r="G1053" i="53"/>
  <c r="G1054" i="53"/>
  <c r="G1055" i="53"/>
  <c r="G1056" i="53"/>
  <c r="G1057" i="53"/>
  <c r="G1058" i="53"/>
  <c r="G1059" i="53"/>
  <c r="G1060" i="53"/>
  <c r="G1061" i="53"/>
  <c r="G1062" i="53"/>
  <c r="G1063" i="53"/>
  <c r="G1064" i="53"/>
  <c r="G1065" i="53"/>
  <c r="G1066" i="53"/>
  <c r="G1067" i="53"/>
  <c r="G1068" i="53"/>
  <c r="G1069" i="53"/>
  <c r="G1070" i="53"/>
  <c r="G1071" i="53"/>
  <c r="G1072" i="53"/>
  <c r="G1073" i="53"/>
  <c r="G1074" i="53"/>
  <c r="G1075" i="53"/>
  <c r="G1076" i="53"/>
  <c r="G1077" i="53"/>
  <c r="G1078" i="53"/>
  <c r="G1079" i="53"/>
  <c r="G1080" i="53"/>
  <c r="G1081" i="53"/>
  <c r="G1082" i="53"/>
  <c r="G1083" i="53"/>
  <c r="G1084" i="53"/>
  <c r="G1085" i="53"/>
  <c r="G1086" i="53"/>
  <c r="G1087" i="53"/>
  <c r="G1088" i="53"/>
  <c r="G1089" i="53"/>
  <c r="G1090" i="53"/>
  <c r="G1091" i="53"/>
  <c r="G1092" i="53"/>
  <c r="G1093" i="53"/>
  <c r="G1094" i="53"/>
  <c r="G1095" i="53"/>
  <c r="G1096" i="53"/>
  <c r="G1097" i="53"/>
  <c r="G1098" i="53"/>
  <c r="G1099" i="53"/>
  <c r="G1100" i="53"/>
  <c r="G1101" i="53"/>
  <c r="G1102" i="53"/>
  <c r="G1103" i="53"/>
  <c r="G1104" i="53"/>
  <c r="G1105" i="53"/>
  <c r="G1106" i="53"/>
  <c r="G1107" i="53"/>
  <c r="G1108" i="53"/>
  <c r="G1109" i="53"/>
  <c r="G1110" i="53"/>
  <c r="G1111" i="53"/>
  <c r="G1112" i="53"/>
  <c r="G1113" i="53"/>
  <c r="G1114" i="53"/>
  <c r="G1115" i="53"/>
  <c r="G1116" i="53"/>
  <c r="G1117" i="53"/>
  <c r="G1118" i="53"/>
  <c r="G1119" i="53"/>
  <c r="G1120" i="53"/>
  <c r="G1121" i="53"/>
  <c r="G1122" i="53"/>
  <c r="G1123" i="53"/>
  <c r="G1124" i="53"/>
  <c r="G1125" i="53"/>
  <c r="G1126" i="53"/>
  <c r="G1127" i="53"/>
  <c r="G1128" i="53"/>
  <c r="G1129" i="53"/>
  <c r="G1130" i="53"/>
  <c r="G1131" i="53"/>
  <c r="G1132" i="53"/>
  <c r="G1133" i="53"/>
  <c r="G1134" i="53"/>
  <c r="G1135" i="53"/>
  <c r="G1136" i="53"/>
  <c r="G1137" i="53"/>
  <c r="G1138" i="53"/>
  <c r="G1139" i="53"/>
  <c r="G1140" i="53"/>
  <c r="G1141" i="53"/>
  <c r="G1142" i="53"/>
  <c r="G1143" i="53"/>
  <c r="G1144" i="53"/>
  <c r="G1145" i="53"/>
  <c r="G1146" i="53"/>
  <c r="G1147" i="53"/>
  <c r="G1148" i="53"/>
  <c r="G1149" i="53"/>
  <c r="G1150" i="53"/>
  <c r="G1151" i="53"/>
  <c r="G1152" i="53"/>
  <c r="G1153" i="53"/>
  <c r="G1154" i="53"/>
  <c r="G1155" i="53"/>
  <c r="G1156" i="53"/>
  <c r="G1157" i="53"/>
  <c r="G1158" i="53"/>
  <c r="G1159" i="53"/>
  <c r="G1160" i="53"/>
  <c r="G1161" i="53"/>
  <c r="G1162" i="53"/>
  <c r="G1163" i="53"/>
  <c r="G1164" i="53"/>
  <c r="G1165" i="53"/>
  <c r="G1166" i="53"/>
  <c r="G1167" i="53"/>
  <c r="G1168" i="53"/>
  <c r="G1169" i="53"/>
  <c r="G1170" i="53"/>
  <c r="G1171" i="53"/>
  <c r="G1172" i="53"/>
  <c r="G1173" i="53"/>
  <c r="G1174" i="53"/>
  <c r="G1175" i="53"/>
  <c r="G1176" i="53"/>
  <c r="G1177" i="53"/>
  <c r="G1178" i="53"/>
  <c r="G1179" i="53"/>
  <c r="G1180" i="53"/>
  <c r="G1181" i="53"/>
  <c r="G1182" i="53"/>
  <c r="G1183" i="53"/>
  <c r="G1184" i="53"/>
  <c r="G1185" i="53"/>
  <c r="G1186" i="53"/>
  <c r="G1187" i="53"/>
  <c r="G1188" i="53"/>
  <c r="G1189" i="53"/>
  <c r="G1190" i="53"/>
  <c r="G1191" i="53"/>
  <c r="G1192" i="53"/>
  <c r="G1193" i="53"/>
  <c r="G1194" i="53"/>
  <c r="G1195" i="53"/>
  <c r="G1196" i="53"/>
  <c r="G1197" i="53"/>
  <c r="G1198" i="53"/>
  <c r="G1199" i="53"/>
  <c r="G1200" i="53"/>
  <c r="G1201" i="53"/>
  <c r="G1202" i="53"/>
  <c r="G1203" i="53"/>
  <c r="G1204" i="53"/>
  <c r="G1205" i="53"/>
  <c r="G1206" i="53"/>
  <c r="G1207" i="53"/>
  <c r="G1208" i="53"/>
  <c r="G1209" i="53"/>
  <c r="G1210" i="53"/>
  <c r="G1211" i="53"/>
  <c r="G1212" i="53"/>
  <c r="G1213" i="53"/>
  <c r="G1214" i="53"/>
  <c r="G1215" i="53"/>
  <c r="G1216" i="53"/>
  <c r="G1217" i="53"/>
  <c r="G1218" i="53"/>
  <c r="G1219" i="53"/>
  <c r="G1220" i="53"/>
  <c r="G1221" i="53"/>
  <c r="G1222" i="53"/>
  <c r="G1223" i="53"/>
  <c r="G1224" i="53"/>
  <c r="G1225" i="53"/>
  <c r="G1226" i="53"/>
  <c r="G1227" i="53"/>
  <c r="G1228" i="53"/>
  <c r="G1229" i="53"/>
  <c r="G1230" i="53"/>
  <c r="G1231" i="53"/>
  <c r="G1232" i="53"/>
  <c r="G1233" i="53"/>
  <c r="G1234" i="53"/>
  <c r="G1235" i="53"/>
  <c r="G1236" i="53"/>
  <c r="G1237" i="53"/>
  <c r="G1238" i="53"/>
  <c r="G1239" i="53"/>
  <c r="G1240" i="53"/>
  <c r="G1241" i="53"/>
  <c r="G1242" i="53"/>
  <c r="G1243" i="53"/>
  <c r="G1244" i="53"/>
  <c r="G1245" i="53"/>
  <c r="G1246" i="53"/>
  <c r="G1247" i="53"/>
  <c r="G1248" i="53"/>
  <c r="G1249" i="53"/>
  <c r="G1250" i="53"/>
  <c r="G1251" i="53"/>
  <c r="G1252" i="53"/>
  <c r="G1253" i="53"/>
  <c r="G1254" i="53"/>
  <c r="G1255" i="53"/>
  <c r="G1256" i="53"/>
  <c r="G1257" i="53"/>
  <c r="G1258" i="53"/>
  <c r="G1259" i="53"/>
  <c r="G1260" i="53"/>
  <c r="G1261" i="53"/>
  <c r="G1262" i="53"/>
  <c r="G1263" i="53"/>
  <c r="G1264" i="53"/>
  <c r="G1265" i="53"/>
  <c r="G1266" i="53"/>
  <c r="G1267" i="53"/>
  <c r="G1268" i="53"/>
  <c r="G1269" i="53"/>
  <c r="G1270" i="53"/>
  <c r="G1271" i="53"/>
  <c r="G1272" i="53"/>
  <c r="G1273" i="53"/>
  <c r="G1274" i="53"/>
  <c r="G1275" i="53"/>
  <c r="G1276" i="53"/>
  <c r="G1277" i="53"/>
  <c r="G1278" i="53"/>
  <c r="G1279" i="53"/>
  <c r="G1280" i="53"/>
  <c r="G1281" i="53"/>
  <c r="G1282" i="53"/>
  <c r="G1283" i="53"/>
  <c r="G1284" i="53"/>
  <c r="G1285" i="53"/>
  <c r="G1286" i="53"/>
  <c r="G1287" i="53"/>
  <c r="G1288" i="53"/>
  <c r="G1289" i="53"/>
  <c r="G1290" i="53"/>
  <c r="G1291" i="53"/>
  <c r="G1292" i="53"/>
  <c r="G1293" i="53"/>
  <c r="G1294" i="53"/>
  <c r="G1295" i="53"/>
  <c r="G1296" i="53"/>
  <c r="G1297" i="53"/>
  <c r="G1298" i="53"/>
  <c r="G1299" i="53"/>
  <c r="G1300" i="53"/>
  <c r="G1301" i="53"/>
  <c r="G1302" i="53"/>
  <c r="G1303" i="53"/>
  <c r="G1304" i="53"/>
  <c r="G1305" i="53"/>
  <c r="G1306" i="53"/>
  <c r="G1307" i="53"/>
  <c r="G1308" i="53"/>
  <c r="G1309" i="53"/>
  <c r="G1310" i="53"/>
  <c r="G1311" i="53"/>
  <c r="G1312" i="53"/>
  <c r="G1313" i="53"/>
  <c r="G1314" i="53"/>
  <c r="G1315" i="53"/>
  <c r="G1316" i="53"/>
  <c r="G1317" i="53"/>
  <c r="G1318" i="53"/>
  <c r="G1319" i="53"/>
  <c r="G1320" i="53"/>
  <c r="G1321" i="53"/>
  <c r="G1322" i="53"/>
  <c r="G1323" i="53"/>
  <c r="G1324" i="53"/>
  <c r="G1325" i="53"/>
  <c r="G1326" i="53"/>
  <c r="G1327" i="53"/>
  <c r="G1328" i="53"/>
  <c r="G1329" i="53"/>
  <c r="G1330" i="53"/>
  <c r="G1331" i="53"/>
  <c r="G1332" i="53"/>
  <c r="G1333" i="53"/>
  <c r="G1334" i="53"/>
  <c r="G1335" i="53"/>
  <c r="G1336" i="53"/>
  <c r="G1337" i="53"/>
  <c r="G1338" i="53"/>
  <c r="G1339" i="53"/>
  <c r="G1340" i="53"/>
  <c r="G1341" i="53"/>
  <c r="G1342" i="53"/>
  <c r="G1343" i="53"/>
  <c r="G1344" i="53"/>
  <c r="G1345" i="53"/>
  <c r="G1346" i="53"/>
  <c r="G1347" i="53"/>
  <c r="G1348" i="53"/>
  <c r="G1349" i="53"/>
  <c r="G1350" i="53"/>
  <c r="G1351" i="53"/>
  <c r="G1352" i="53"/>
  <c r="G1353" i="53"/>
  <c r="G1354" i="53"/>
  <c r="G1355" i="53"/>
  <c r="G1356" i="53"/>
  <c r="G1357" i="53"/>
  <c r="G1358" i="53"/>
  <c r="G1359" i="53"/>
  <c r="G1360" i="53"/>
  <c r="G1361" i="53"/>
  <c r="G1362" i="53"/>
  <c r="G1363" i="53"/>
  <c r="G1364" i="53"/>
  <c r="G1365" i="53"/>
  <c r="G1366" i="53"/>
  <c r="G1367" i="53"/>
  <c r="G1368" i="53"/>
  <c r="G1369" i="53"/>
  <c r="G1370" i="53"/>
  <c r="G1371" i="53"/>
  <c r="G1372" i="53"/>
  <c r="G1373" i="53"/>
  <c r="G1374" i="53"/>
  <c r="G1375" i="53"/>
  <c r="G1376" i="53"/>
  <c r="G1377" i="53"/>
  <c r="G1378" i="53"/>
  <c r="G1379" i="53"/>
  <c r="G1380" i="53"/>
  <c r="G1381" i="53"/>
  <c r="G1382" i="53"/>
  <c r="G1383" i="53"/>
  <c r="G1384" i="53"/>
  <c r="G1385" i="53"/>
  <c r="G1386" i="53"/>
  <c r="G1387" i="53"/>
  <c r="G1388" i="53"/>
  <c r="G1389" i="53"/>
  <c r="G1390" i="53"/>
  <c r="G1391" i="53"/>
  <c r="G1392" i="53"/>
  <c r="G1393" i="53"/>
  <c r="G1394" i="53"/>
  <c r="G1395" i="53"/>
  <c r="G1396" i="53"/>
  <c r="G1397" i="53"/>
  <c r="G1398" i="53"/>
  <c r="G1399" i="53"/>
  <c r="G1400" i="53"/>
  <c r="G1401" i="53"/>
  <c r="G1402" i="53"/>
  <c r="G1403" i="53"/>
  <c r="G1404" i="53"/>
  <c r="G1405" i="53"/>
  <c r="G1406" i="53"/>
  <c r="G1407" i="53"/>
  <c r="G1408" i="53"/>
  <c r="G1409" i="53"/>
  <c r="G1410" i="53"/>
  <c r="G1411" i="53"/>
  <c r="G1412" i="53"/>
  <c r="G1413" i="53"/>
  <c r="G1414" i="53"/>
  <c r="G1415" i="53"/>
  <c r="G1416" i="53"/>
  <c r="G1417" i="53"/>
  <c r="G1418" i="53"/>
  <c r="G1419" i="53"/>
  <c r="G1420" i="53"/>
  <c r="G1421" i="53"/>
  <c r="G1422" i="53"/>
  <c r="G1423" i="53"/>
  <c r="G1424" i="53"/>
  <c r="G1425" i="53"/>
  <c r="G1426" i="53"/>
  <c r="G1427" i="53"/>
  <c r="G1428" i="53"/>
  <c r="G1429" i="53"/>
  <c r="G1430" i="53"/>
  <c r="G1431" i="53"/>
  <c r="G1432" i="53"/>
  <c r="G1433" i="53"/>
  <c r="G1434" i="53"/>
  <c r="G1435" i="53"/>
  <c r="G1436" i="53"/>
  <c r="G1437" i="53"/>
  <c r="G1438" i="53"/>
  <c r="G1439" i="53"/>
  <c r="G1440" i="53"/>
  <c r="G1441" i="53"/>
  <c r="G1442" i="53"/>
  <c r="G1443" i="53"/>
  <c r="G1444" i="53"/>
  <c r="G1445" i="53"/>
  <c r="G1446" i="53"/>
  <c r="G1447" i="53"/>
  <c r="G1448" i="53"/>
  <c r="G1449" i="53"/>
  <c r="G1450" i="53"/>
  <c r="G1451" i="53"/>
  <c r="G1452" i="53"/>
  <c r="G1453" i="53"/>
  <c r="G1454" i="53"/>
  <c r="G1455" i="53"/>
  <c r="G1456" i="53"/>
  <c r="G1457" i="53"/>
  <c r="G1458" i="53"/>
  <c r="G1459" i="53"/>
  <c r="G1460" i="53"/>
  <c r="G1461" i="53"/>
  <c r="G1462" i="53"/>
  <c r="G1463" i="53"/>
  <c r="G1464" i="53"/>
  <c r="G1465" i="53"/>
  <c r="G1466" i="53"/>
  <c r="G1467" i="53"/>
  <c r="G1468" i="53"/>
  <c r="G1469" i="53"/>
  <c r="G1470" i="53"/>
  <c r="G1471" i="53"/>
  <c r="G1472" i="53"/>
  <c r="G1473" i="53"/>
  <c r="G1474" i="53"/>
  <c r="G1475" i="53"/>
  <c r="G1476" i="53"/>
  <c r="G1477" i="53"/>
  <c r="G1478" i="53"/>
  <c r="G1479" i="53"/>
  <c r="G1480" i="53"/>
  <c r="G1481" i="53"/>
  <c r="G1482" i="53"/>
  <c r="G1483" i="53"/>
  <c r="G1484" i="53"/>
  <c r="G1485" i="53"/>
  <c r="G1486" i="53"/>
  <c r="G1487" i="53"/>
  <c r="G1488" i="53"/>
  <c r="G1489" i="53"/>
  <c r="G1490" i="53"/>
  <c r="G1491" i="53"/>
  <c r="G1492" i="53"/>
  <c r="G1493" i="53"/>
  <c r="G1494" i="53"/>
  <c r="G1495" i="53"/>
  <c r="G1496" i="53"/>
  <c r="G1497" i="53"/>
  <c r="G1498" i="53"/>
  <c r="G1499" i="53"/>
  <c r="G1500" i="53"/>
  <c r="G1501" i="53"/>
  <c r="G1502" i="53"/>
  <c r="G1503" i="53"/>
  <c r="G1504" i="53"/>
  <c r="G1505" i="53"/>
  <c r="G1506" i="53"/>
  <c r="G1507" i="53"/>
  <c r="G1508" i="53"/>
  <c r="G1509" i="53"/>
  <c r="G1510" i="53"/>
  <c r="G1511" i="53"/>
  <c r="G1512" i="53"/>
  <c r="G1513" i="53"/>
  <c r="G1514" i="53"/>
  <c r="G1515" i="53"/>
  <c r="G1516" i="53"/>
  <c r="G1517" i="53"/>
  <c r="G1518" i="53"/>
  <c r="G1519" i="53"/>
  <c r="G1520" i="53"/>
  <c r="G1521" i="53"/>
  <c r="G1522" i="53"/>
  <c r="G1523" i="53"/>
  <c r="G1524" i="53"/>
  <c r="G1525" i="53"/>
  <c r="G1526" i="53"/>
  <c r="G1527" i="53"/>
  <c r="G1528" i="53"/>
  <c r="G1529" i="53"/>
  <c r="G1530" i="53"/>
  <c r="G1531" i="53"/>
  <c r="G1532" i="53"/>
  <c r="G1533" i="53"/>
  <c r="G1534" i="53"/>
  <c r="G1535" i="53"/>
  <c r="G1536" i="53"/>
  <c r="G1537" i="53"/>
  <c r="G1538" i="53"/>
  <c r="G1539" i="53"/>
  <c r="G1540" i="53"/>
  <c r="G1541" i="53"/>
  <c r="G1542" i="53"/>
  <c r="G1543" i="53"/>
  <c r="G1544" i="53"/>
  <c r="G1545" i="53"/>
  <c r="G1546" i="53"/>
  <c r="G1547" i="53"/>
  <c r="G1548" i="53"/>
  <c r="G1549" i="53"/>
  <c r="G1550" i="53"/>
  <c r="G1551" i="53"/>
  <c r="G1552" i="53"/>
  <c r="G1553" i="53"/>
  <c r="G1554" i="53"/>
  <c r="G1555" i="53"/>
  <c r="G1556" i="53"/>
  <c r="G1557" i="53"/>
  <c r="G1558" i="53"/>
  <c r="G1559" i="53"/>
  <c r="G1560" i="53"/>
  <c r="G1561" i="53"/>
  <c r="G1562" i="53"/>
  <c r="G1563" i="53"/>
  <c r="G1564" i="53"/>
  <c r="G1565" i="53"/>
  <c r="G1566" i="53"/>
  <c r="G1567" i="53"/>
  <c r="G1568" i="53"/>
  <c r="G1569" i="53"/>
  <c r="G1570" i="53"/>
  <c r="G1571" i="53"/>
  <c r="G1572" i="53"/>
  <c r="G1573" i="53"/>
  <c r="G1574" i="53"/>
  <c r="G1575" i="53"/>
  <c r="G1576" i="53"/>
  <c r="G1577" i="53"/>
  <c r="G1578" i="53"/>
  <c r="G1579" i="53"/>
  <c r="G1580" i="53"/>
  <c r="G1581" i="53"/>
  <c r="G1582" i="53"/>
  <c r="G1583" i="53"/>
  <c r="G1584" i="53"/>
  <c r="G1585" i="53"/>
  <c r="G1586" i="53"/>
  <c r="G1587" i="53"/>
  <c r="G1588" i="53"/>
  <c r="G1589" i="53"/>
  <c r="G1590" i="53"/>
  <c r="G1591" i="53"/>
  <c r="G1592" i="53"/>
  <c r="G1593" i="53"/>
  <c r="G1594" i="53"/>
  <c r="G1595" i="53"/>
  <c r="G1596" i="53"/>
  <c r="G1597" i="53"/>
  <c r="G1598" i="53"/>
  <c r="G1599" i="53"/>
  <c r="G1600" i="53"/>
  <c r="G1601" i="53"/>
  <c r="G1602" i="53"/>
  <c r="G1603" i="53"/>
  <c r="G1604" i="53"/>
  <c r="G1605" i="53"/>
  <c r="G1606" i="53"/>
  <c r="G1607" i="53"/>
  <c r="G1608" i="53"/>
  <c r="G1609" i="53"/>
  <c r="G1610" i="53"/>
  <c r="G1611" i="53"/>
  <c r="G1612" i="53"/>
  <c r="G1613" i="53"/>
  <c r="G1614" i="53"/>
  <c r="G1615" i="53"/>
  <c r="G1616" i="53"/>
  <c r="G1617" i="53"/>
  <c r="G1618" i="53"/>
  <c r="G1619" i="53"/>
  <c r="G1620" i="53"/>
  <c r="G1621" i="53"/>
  <c r="G1622" i="53"/>
  <c r="G1623" i="53"/>
  <c r="G1624" i="53"/>
  <c r="G1625" i="53"/>
  <c r="G1626" i="53"/>
  <c r="G1627" i="53"/>
  <c r="G1628" i="53"/>
  <c r="G1629" i="53"/>
  <c r="G1630" i="53"/>
  <c r="G1631" i="53"/>
  <c r="G1632" i="53"/>
  <c r="G1633" i="53"/>
  <c r="G1634" i="53"/>
  <c r="G1635" i="53"/>
  <c r="G1636" i="53"/>
  <c r="G1637" i="53"/>
  <c r="G1638" i="53"/>
  <c r="G1639" i="53"/>
  <c r="G1640" i="53"/>
  <c r="G1641" i="53"/>
  <c r="G1642" i="53"/>
  <c r="G1643" i="53"/>
  <c r="G1644" i="53"/>
  <c r="G1645" i="53"/>
  <c r="G1646" i="53"/>
  <c r="G1647" i="53"/>
  <c r="G1648" i="53"/>
  <c r="G1649" i="53"/>
  <c r="G1650" i="53"/>
  <c r="G1651" i="53"/>
  <c r="G1652" i="53"/>
  <c r="G1653" i="53"/>
  <c r="G1654" i="53"/>
  <c r="G1655" i="53"/>
  <c r="G1656" i="53"/>
  <c r="G1657" i="53"/>
  <c r="G1658" i="53"/>
  <c r="G1659" i="53"/>
  <c r="G1660" i="53"/>
  <c r="G1661" i="53"/>
  <c r="G1662" i="53"/>
  <c r="G1663" i="53"/>
  <c r="G1664" i="53"/>
  <c r="G1665" i="53"/>
  <c r="G1666" i="53"/>
  <c r="G1667" i="53"/>
  <c r="G1668" i="53"/>
  <c r="G1669" i="53"/>
  <c r="G1670" i="53"/>
  <c r="G1671" i="53"/>
  <c r="G1672" i="53"/>
  <c r="G1673" i="53"/>
  <c r="G1674" i="53"/>
  <c r="G1675" i="53"/>
  <c r="G1676" i="53"/>
  <c r="G1677" i="53"/>
  <c r="G1678" i="53"/>
  <c r="G1679" i="53"/>
  <c r="G1680" i="53"/>
  <c r="G1681" i="53"/>
  <c r="G1682" i="53"/>
  <c r="G1683" i="53"/>
  <c r="G1684" i="53"/>
  <c r="G1685" i="53"/>
  <c r="G1686" i="53"/>
  <c r="G1687" i="53"/>
  <c r="G1688" i="53"/>
  <c r="G1689" i="53"/>
  <c r="G1690" i="53"/>
  <c r="G1691" i="53"/>
  <c r="G1692" i="53"/>
  <c r="G1693" i="53"/>
  <c r="G1694" i="53"/>
  <c r="G1695" i="53"/>
  <c r="G1696" i="53"/>
  <c r="G1697" i="53"/>
  <c r="G1698" i="53"/>
  <c r="G1699" i="53"/>
  <c r="G1700" i="53"/>
  <c r="G1701" i="53"/>
  <c r="G1702" i="53"/>
  <c r="G1703" i="53"/>
  <c r="G1704" i="53"/>
  <c r="G1705" i="53"/>
  <c r="G1706" i="53"/>
  <c r="G1707" i="53"/>
  <c r="G1708" i="53"/>
  <c r="G1709" i="53"/>
  <c r="G1710" i="53"/>
  <c r="G1711" i="53"/>
  <c r="G1712" i="53"/>
  <c r="G1713" i="53"/>
  <c r="G1714" i="53"/>
  <c r="G1715" i="53"/>
  <c r="G1716" i="53"/>
  <c r="G1717" i="53"/>
  <c r="G1718" i="53"/>
  <c r="G1719" i="53"/>
  <c r="G1720" i="53"/>
  <c r="G1721" i="53"/>
  <c r="G1722" i="53"/>
  <c r="G1723" i="53"/>
  <c r="G1724" i="53"/>
  <c r="G1725" i="53"/>
  <c r="G1726" i="53"/>
  <c r="G1727" i="53"/>
  <c r="G1728" i="53"/>
  <c r="G1729" i="53"/>
  <c r="G1730" i="53"/>
  <c r="G1731" i="53"/>
  <c r="G1732" i="53"/>
  <c r="G1733" i="53"/>
  <c r="G1734" i="53"/>
  <c r="G1735" i="53"/>
  <c r="G1736" i="53"/>
  <c r="G1737" i="53"/>
  <c r="G1738" i="53"/>
  <c r="G1739" i="53"/>
  <c r="G1740" i="53"/>
  <c r="G1741" i="53"/>
  <c r="G1742" i="53"/>
  <c r="G1743" i="53"/>
  <c r="G1744" i="53"/>
  <c r="G1745" i="53"/>
  <c r="G1746" i="53"/>
  <c r="G1747" i="53"/>
  <c r="G1748" i="53"/>
  <c r="G1749" i="53"/>
  <c r="G1750" i="53"/>
  <c r="G1751" i="53"/>
  <c r="G1752" i="53"/>
  <c r="G1753" i="53"/>
  <c r="G1754" i="53"/>
  <c r="G1755" i="53"/>
  <c r="G1756" i="53"/>
  <c r="G1757" i="53"/>
  <c r="G1758" i="53"/>
  <c r="G1759" i="53"/>
  <c r="G1760" i="53"/>
  <c r="G1761" i="53"/>
  <c r="G1762" i="53"/>
  <c r="G1763" i="53"/>
  <c r="G1764" i="53"/>
  <c r="G1765" i="53"/>
  <c r="G1766" i="53"/>
  <c r="G1767" i="53"/>
  <c r="G1768" i="53"/>
  <c r="G1769" i="53"/>
  <c r="G1770" i="53"/>
  <c r="G1771" i="53"/>
  <c r="G1772" i="53"/>
  <c r="G1773" i="53"/>
  <c r="G1774" i="53"/>
  <c r="G1775" i="53"/>
  <c r="G1776" i="53"/>
  <c r="G1777" i="53"/>
  <c r="G1778" i="53"/>
  <c r="G1779" i="53"/>
  <c r="G1780" i="53"/>
  <c r="G1781" i="53"/>
  <c r="G1782" i="53"/>
  <c r="G1783" i="53"/>
  <c r="G1784" i="53"/>
  <c r="G1785" i="53"/>
  <c r="G1786" i="53"/>
  <c r="G1787" i="53"/>
  <c r="G1788" i="53"/>
  <c r="G1789" i="53"/>
  <c r="G1790" i="53"/>
  <c r="G1791" i="53"/>
  <c r="G1792" i="53"/>
  <c r="G1793" i="53"/>
  <c r="G1794" i="53"/>
  <c r="G1795" i="53"/>
  <c r="G1796" i="53"/>
  <c r="G1797" i="53"/>
  <c r="G1798" i="53"/>
  <c r="G1799" i="53"/>
  <c r="G1800" i="53"/>
  <c r="G1801" i="53"/>
  <c r="G1802" i="53"/>
  <c r="G1803" i="53"/>
  <c r="G1804" i="53"/>
  <c r="G1805" i="53"/>
  <c r="G1806" i="53"/>
  <c r="G1807" i="53"/>
  <c r="G1808" i="53"/>
  <c r="G1809" i="53"/>
  <c r="G1810" i="53"/>
  <c r="G1811" i="53"/>
  <c r="G1812" i="53"/>
  <c r="G1813" i="53"/>
  <c r="G1814" i="53"/>
  <c r="G1815" i="53"/>
  <c r="G1816" i="53"/>
  <c r="G1817" i="53"/>
  <c r="G1818" i="53"/>
  <c r="G1819" i="53"/>
  <c r="G1820" i="53"/>
  <c r="G1821" i="53"/>
  <c r="G1822" i="53"/>
  <c r="G1823" i="53"/>
  <c r="G1824" i="53"/>
  <c r="G1825" i="53"/>
  <c r="G1826" i="53"/>
  <c r="G1827" i="53"/>
  <c r="G1828" i="53"/>
  <c r="G1829" i="53"/>
  <c r="G1830" i="53"/>
  <c r="G1831" i="53"/>
  <c r="G1832" i="53"/>
  <c r="G1833" i="53"/>
  <c r="G1834" i="53"/>
  <c r="G1835" i="53"/>
  <c r="G1836" i="53"/>
  <c r="G1837" i="53"/>
  <c r="G1838" i="53"/>
  <c r="G1839" i="53"/>
  <c r="G1840" i="53"/>
  <c r="G1841" i="53"/>
  <c r="G1842" i="53"/>
  <c r="G1843" i="53"/>
  <c r="G1844" i="53"/>
  <c r="G1845" i="53"/>
  <c r="G1846" i="53"/>
  <c r="G1847" i="53"/>
  <c r="G1848" i="53"/>
  <c r="G1849" i="53"/>
  <c r="G1850" i="53"/>
  <c r="G1851" i="53"/>
  <c r="G1852" i="53"/>
  <c r="G1853" i="53"/>
  <c r="G1854" i="53"/>
  <c r="G1855" i="53"/>
  <c r="G1856" i="53"/>
  <c r="G1857" i="53"/>
  <c r="G1858" i="53"/>
  <c r="G1859" i="53"/>
  <c r="G1860" i="53"/>
  <c r="G1861" i="53"/>
  <c r="G1862" i="53"/>
  <c r="G1863" i="53"/>
  <c r="G1864" i="53"/>
  <c r="G1865" i="53"/>
  <c r="G1866" i="53"/>
  <c r="G1867" i="53"/>
  <c r="G1868" i="53"/>
  <c r="G1869" i="53"/>
  <c r="G1870" i="53"/>
  <c r="G1871" i="53"/>
  <c r="G1872" i="53"/>
  <c r="G1873" i="53"/>
  <c r="G1874" i="53"/>
  <c r="G1875" i="53"/>
  <c r="G1876" i="53"/>
  <c r="G1877" i="53"/>
  <c r="G1878" i="53"/>
  <c r="G1879" i="53"/>
  <c r="G1880" i="53"/>
  <c r="G1881" i="53"/>
  <c r="G1882" i="53"/>
  <c r="G1883" i="53"/>
  <c r="G1884" i="53"/>
  <c r="G1885" i="53"/>
  <c r="G1886" i="53"/>
  <c r="G1887" i="53"/>
  <c r="G1888" i="53"/>
  <c r="G1889" i="53"/>
  <c r="G1890" i="53"/>
  <c r="G1891" i="53"/>
  <c r="G1892" i="53"/>
  <c r="G1893" i="53"/>
  <c r="G1894" i="53"/>
  <c r="G1895" i="53"/>
  <c r="G1896" i="53"/>
  <c r="G1897" i="53"/>
  <c r="G1898" i="53"/>
  <c r="G1899" i="53"/>
  <c r="G1900" i="53"/>
  <c r="G1901" i="53"/>
  <c r="G1902" i="53"/>
  <c r="G1903" i="53"/>
  <c r="G1904" i="53"/>
  <c r="G1905" i="53"/>
  <c r="G1906" i="53"/>
  <c r="G1907" i="53"/>
  <c r="G1908" i="53"/>
  <c r="G1909" i="53"/>
  <c r="G1910" i="53"/>
  <c r="G1911" i="53"/>
  <c r="G1912" i="53"/>
  <c r="G1913" i="53"/>
  <c r="G1914" i="53"/>
  <c r="G1915" i="53"/>
  <c r="G1916" i="53"/>
  <c r="G1917" i="53"/>
  <c r="G1918" i="53"/>
  <c r="G1919" i="53"/>
  <c r="G1920" i="53"/>
  <c r="G1921" i="53"/>
  <c r="G1922" i="53"/>
  <c r="G1923" i="53"/>
  <c r="G1924" i="53"/>
  <c r="G1925" i="53"/>
  <c r="G1926" i="53"/>
  <c r="G1927" i="53"/>
  <c r="G1928" i="53"/>
  <c r="G1929" i="53"/>
  <c r="G1930" i="53"/>
  <c r="G1931" i="53"/>
  <c r="G1932" i="53"/>
  <c r="G1933" i="53"/>
  <c r="G1934" i="53"/>
  <c r="G1935" i="53"/>
  <c r="G1936" i="53"/>
  <c r="G1937" i="53"/>
  <c r="G1938" i="53"/>
  <c r="G1939" i="53"/>
  <c r="G1940" i="53"/>
  <c r="G1941" i="53"/>
  <c r="G1942" i="53"/>
  <c r="G1943" i="53"/>
  <c r="G1944" i="53"/>
  <c r="G1945" i="53"/>
  <c r="G1946" i="53"/>
  <c r="G1947" i="53"/>
  <c r="G1948" i="53"/>
  <c r="G1949" i="53"/>
  <c r="G1950" i="53"/>
  <c r="G1951" i="53"/>
  <c r="G1952" i="53"/>
  <c r="G1953" i="53"/>
  <c r="G1954" i="53"/>
  <c r="G1955" i="53"/>
  <c r="G1956" i="53"/>
  <c r="G1957" i="53"/>
  <c r="G1958" i="53"/>
  <c r="G1959" i="53"/>
  <c r="G1960" i="53"/>
  <c r="G1961" i="53"/>
  <c r="G1962" i="53"/>
  <c r="G1963" i="53"/>
  <c r="G1964" i="53"/>
  <c r="G1965" i="53"/>
  <c r="G1966" i="53"/>
  <c r="G1967" i="53"/>
  <c r="G1968" i="53"/>
  <c r="G1969" i="53"/>
  <c r="G1970" i="53"/>
  <c r="G1971" i="53"/>
  <c r="G1972" i="53"/>
  <c r="G1973" i="53"/>
  <c r="G1974" i="53"/>
  <c r="G1975" i="53"/>
  <c r="G1976" i="53"/>
  <c r="G1977" i="53"/>
  <c r="G1978" i="53"/>
  <c r="G1979" i="53"/>
  <c r="G1980" i="53"/>
  <c r="G1981" i="53"/>
  <c r="G1982" i="53"/>
  <c r="G1983" i="53"/>
  <c r="G1984" i="53"/>
  <c r="G1985" i="53"/>
  <c r="G1986" i="53"/>
  <c r="G1987" i="53"/>
  <c r="G1988" i="53"/>
  <c r="G1989" i="53"/>
  <c r="G1990" i="53"/>
  <c r="G1991" i="53"/>
  <c r="G1992" i="53"/>
  <c r="G1993" i="53"/>
  <c r="G1994" i="53"/>
  <c r="G1995" i="53"/>
  <c r="G1996" i="53"/>
  <c r="G1997" i="53"/>
  <c r="G1998" i="53"/>
  <c r="G1999" i="53"/>
  <c r="G2000" i="53"/>
  <c r="G2001" i="53"/>
  <c r="G2002" i="53"/>
  <c r="G2003" i="53"/>
  <c r="G2004" i="53"/>
  <c r="G2005" i="53"/>
  <c r="G2006" i="53"/>
  <c r="G2007" i="53"/>
  <c r="G2008" i="53"/>
  <c r="G2009" i="53"/>
  <c r="G2010" i="53"/>
  <c r="G2011" i="53"/>
  <c r="G2012" i="53"/>
  <c r="G2013" i="53"/>
  <c r="G2014" i="53"/>
  <c r="G2015" i="53"/>
  <c r="G2016" i="53"/>
  <c r="G2017" i="53"/>
  <c r="G2018" i="53"/>
  <c r="G2019" i="53"/>
  <c r="G2020" i="53"/>
  <c r="G2021" i="53"/>
  <c r="G2022" i="53"/>
  <c r="G2023" i="53"/>
  <c r="G2024" i="53"/>
  <c r="G2025" i="53"/>
  <c r="G2026" i="53"/>
  <c r="G2027" i="53"/>
  <c r="G2028" i="53"/>
  <c r="G2029" i="53"/>
  <c r="G2030" i="53"/>
  <c r="G2031" i="53"/>
  <c r="G2032" i="53"/>
  <c r="G2033" i="53"/>
  <c r="G2034" i="53"/>
  <c r="G2035" i="53"/>
  <c r="G2036" i="53"/>
  <c r="G2037" i="53"/>
  <c r="G2038" i="53"/>
  <c r="G2039" i="53"/>
  <c r="G2040" i="53"/>
  <c r="G2041" i="53"/>
  <c r="G2042" i="53"/>
  <c r="G2043" i="53"/>
  <c r="G2044" i="53"/>
  <c r="G2045" i="53"/>
  <c r="G2046" i="53"/>
  <c r="G2047" i="53"/>
  <c r="G2048" i="53"/>
  <c r="G2049" i="53"/>
  <c r="G2050" i="53"/>
  <c r="G2051" i="53"/>
  <c r="G2052" i="53"/>
  <c r="G2053" i="53"/>
  <c r="G2054" i="53"/>
  <c r="G2055" i="53"/>
  <c r="G2056" i="53"/>
  <c r="G2057" i="53"/>
  <c r="G2058" i="53"/>
  <c r="G2059" i="53"/>
  <c r="G2060" i="53"/>
  <c r="G2061" i="53"/>
  <c r="G2062" i="53"/>
  <c r="G2063" i="53"/>
  <c r="G2064" i="53"/>
  <c r="G2065" i="53"/>
  <c r="G2066" i="53"/>
  <c r="G2067" i="53"/>
  <c r="G2068" i="53"/>
  <c r="G2069" i="53"/>
  <c r="G2070" i="53"/>
  <c r="G2071" i="53"/>
  <c r="G2072" i="53"/>
  <c r="G2073" i="53"/>
  <c r="G2074" i="53"/>
  <c r="G2075" i="53"/>
  <c r="G2076" i="53"/>
  <c r="G2077" i="53"/>
  <c r="G2078" i="53"/>
  <c r="G2079" i="53"/>
  <c r="G2080" i="53"/>
  <c r="G2081" i="53"/>
  <c r="G2082" i="53"/>
  <c r="G2083" i="53"/>
  <c r="G2084" i="53"/>
  <c r="G2085" i="53"/>
  <c r="G2086" i="53"/>
  <c r="G2087" i="53"/>
  <c r="G2088" i="53"/>
  <c r="G2089" i="53"/>
  <c r="G2090" i="53"/>
  <c r="G2091" i="53"/>
  <c r="G2092" i="53"/>
  <c r="G2093" i="53"/>
  <c r="G2094" i="53"/>
  <c r="G2095" i="53"/>
  <c r="G2096" i="53"/>
  <c r="G2097" i="53"/>
  <c r="G2098" i="53"/>
  <c r="G2099" i="53"/>
  <c r="G2100" i="53"/>
  <c r="G2101" i="53"/>
  <c r="G2102" i="53"/>
  <c r="G2103" i="53"/>
  <c r="G2104" i="53"/>
  <c r="G2105" i="53"/>
  <c r="G2106" i="53"/>
  <c r="G2107" i="53"/>
  <c r="G2108" i="53"/>
  <c r="G2109" i="53"/>
  <c r="G2110" i="53"/>
  <c r="G2111" i="53"/>
  <c r="G2112" i="53"/>
  <c r="G2113" i="53"/>
  <c r="G2114" i="53"/>
  <c r="G2115" i="53"/>
  <c r="G2116" i="53"/>
  <c r="G2117" i="53"/>
  <c r="G2118" i="53"/>
  <c r="G2119" i="53"/>
  <c r="G2120" i="53"/>
  <c r="G2121" i="53"/>
  <c r="G2122" i="53"/>
  <c r="G2123" i="53"/>
  <c r="G2124" i="53"/>
  <c r="G2125" i="53"/>
  <c r="G2126" i="53"/>
  <c r="G2127" i="53"/>
  <c r="G2128" i="53"/>
  <c r="G2129" i="53"/>
  <c r="G2130" i="53"/>
  <c r="G2131" i="53"/>
  <c r="G2132" i="53"/>
  <c r="G2133" i="53"/>
  <c r="G2134" i="53"/>
  <c r="G2135" i="53"/>
  <c r="G2136" i="53"/>
  <c r="G2137" i="53"/>
  <c r="G2138" i="53"/>
  <c r="G2139" i="53"/>
  <c r="G2140" i="53"/>
  <c r="G2141" i="53"/>
  <c r="G2142" i="53"/>
  <c r="G2143" i="53"/>
  <c r="G2144" i="53"/>
  <c r="G2145" i="53"/>
  <c r="G2146" i="53"/>
  <c r="G2147" i="53"/>
  <c r="G2148" i="53"/>
  <c r="G2149" i="53"/>
  <c r="G2150" i="53"/>
  <c r="G2151" i="53"/>
  <c r="G2152" i="53"/>
  <c r="G2153" i="53"/>
  <c r="G2154" i="53"/>
  <c r="G2155" i="53"/>
  <c r="G2156" i="53"/>
  <c r="G2157" i="53"/>
  <c r="G2158" i="53"/>
  <c r="G2159" i="53"/>
  <c r="G2160" i="53"/>
  <c r="G2161" i="53"/>
  <c r="G2162" i="53"/>
  <c r="G2163" i="53"/>
  <c r="G2164" i="53"/>
  <c r="G2165" i="53"/>
  <c r="G2166" i="53"/>
  <c r="G2167" i="53"/>
  <c r="G2168" i="53"/>
  <c r="G2169" i="53"/>
  <c r="G2170" i="53"/>
  <c r="G2171" i="53"/>
  <c r="G2172" i="53"/>
  <c r="G2173" i="53"/>
  <c r="G2174" i="53"/>
  <c r="G2175" i="53"/>
  <c r="G2176" i="53"/>
  <c r="G2177" i="53"/>
  <c r="G2178" i="53"/>
  <c r="G2179" i="53"/>
  <c r="G2180" i="53"/>
  <c r="G2181" i="53"/>
  <c r="G2182" i="53"/>
  <c r="G2183" i="53"/>
  <c r="G2184" i="53"/>
  <c r="G2185" i="53"/>
  <c r="G2186" i="53"/>
  <c r="G2187" i="53"/>
  <c r="G2188" i="53"/>
  <c r="G2189" i="53"/>
  <c r="G2190" i="53"/>
  <c r="G2191" i="53"/>
  <c r="G2192" i="53"/>
  <c r="G2193" i="53"/>
  <c r="G2194" i="53"/>
  <c r="G2195" i="53"/>
  <c r="G2196" i="53"/>
  <c r="G2197" i="53"/>
  <c r="G2198" i="53"/>
  <c r="G2199" i="53"/>
  <c r="G2200" i="53"/>
  <c r="G2201" i="53"/>
  <c r="G2202" i="53"/>
  <c r="G2203" i="53"/>
  <c r="G2204" i="53"/>
  <c r="G2205" i="53"/>
  <c r="G2206" i="53"/>
  <c r="G2207" i="53"/>
  <c r="G2208" i="53"/>
  <c r="G2209" i="53"/>
  <c r="G2210" i="53"/>
  <c r="G2211" i="53"/>
  <c r="G2212" i="53"/>
  <c r="G2213" i="53"/>
  <c r="G2214" i="53"/>
  <c r="G2215" i="53"/>
  <c r="G2216" i="53"/>
  <c r="G2217" i="53"/>
  <c r="G2218" i="53"/>
  <c r="G2219" i="53"/>
  <c r="G2220" i="53"/>
  <c r="G2221" i="53"/>
  <c r="G2222" i="53"/>
  <c r="G2223" i="53"/>
  <c r="G2224" i="53"/>
  <c r="G2225" i="53"/>
  <c r="G2226" i="53"/>
  <c r="G2227" i="53"/>
  <c r="G2228" i="53"/>
  <c r="G2229" i="53"/>
  <c r="G2230" i="53"/>
  <c r="G2231" i="53"/>
  <c r="G2232" i="53"/>
  <c r="G2233" i="53"/>
  <c r="G2234" i="53"/>
  <c r="G2235" i="53"/>
  <c r="G2236" i="53"/>
  <c r="G2237" i="53"/>
  <c r="G2238" i="53"/>
  <c r="G2239" i="53"/>
  <c r="G2240" i="53"/>
  <c r="G2241" i="53"/>
  <c r="G2242" i="53"/>
  <c r="G2243" i="53"/>
  <c r="G2244" i="53"/>
  <c r="G2245" i="53"/>
  <c r="G2246" i="53"/>
  <c r="G2247" i="53"/>
  <c r="G2248" i="53"/>
  <c r="G2249" i="53"/>
  <c r="G2250" i="53"/>
  <c r="G2251" i="53"/>
  <c r="G2252" i="53"/>
  <c r="G2253" i="53"/>
  <c r="G2254" i="53"/>
  <c r="G2255" i="53"/>
  <c r="G2256" i="53"/>
  <c r="G2257" i="53"/>
  <c r="G2258" i="53"/>
  <c r="G2259" i="53"/>
  <c r="G2260" i="53"/>
  <c r="G2261" i="53"/>
  <c r="G2262" i="53"/>
  <c r="G2263" i="53"/>
  <c r="G2264" i="53"/>
  <c r="G2265" i="53"/>
  <c r="G2266" i="53"/>
  <c r="G2267" i="53"/>
  <c r="G2268" i="53"/>
  <c r="G2269" i="53"/>
  <c r="G2270" i="53"/>
  <c r="G2271" i="53"/>
  <c r="G2272" i="53"/>
  <c r="G2273" i="53"/>
  <c r="G2274" i="53"/>
  <c r="G2275" i="53"/>
  <c r="G2276" i="53"/>
  <c r="G2277" i="53"/>
  <c r="G2278" i="53"/>
  <c r="G2279" i="53"/>
  <c r="G2280" i="53"/>
  <c r="G2281" i="53"/>
  <c r="G2282" i="53"/>
  <c r="G2283" i="53"/>
  <c r="G2284" i="53"/>
  <c r="G2285" i="53"/>
  <c r="G2286" i="53"/>
  <c r="G2287" i="53"/>
  <c r="G2288" i="53"/>
  <c r="G2289" i="53"/>
  <c r="G2290" i="53"/>
  <c r="G2291" i="53"/>
  <c r="G2292" i="53"/>
  <c r="G2293" i="53"/>
  <c r="G2294" i="53"/>
  <c r="G2295" i="53"/>
  <c r="G2296" i="53"/>
  <c r="G2297" i="53"/>
  <c r="G2298" i="53"/>
  <c r="G2299" i="53"/>
  <c r="G2300" i="53"/>
  <c r="G2301" i="53"/>
  <c r="G2302" i="53"/>
  <c r="G2303" i="53"/>
  <c r="G2304" i="53"/>
  <c r="G2305" i="53"/>
  <c r="G2306" i="53"/>
  <c r="G2307" i="53"/>
  <c r="G2308" i="53"/>
  <c r="G2309" i="53"/>
  <c r="G2310" i="53"/>
  <c r="G2311" i="53"/>
  <c r="G2312" i="53"/>
  <c r="G2313" i="53"/>
  <c r="G2314" i="53"/>
  <c r="G2315" i="53"/>
  <c r="G2316" i="53"/>
  <c r="G2317" i="53"/>
  <c r="G2318" i="53"/>
  <c r="G2319" i="53"/>
  <c r="G2320" i="53"/>
  <c r="G2321" i="53"/>
  <c r="G2322" i="53"/>
  <c r="G2323" i="53"/>
  <c r="G2324" i="53"/>
  <c r="G2325" i="53"/>
  <c r="G2326" i="53"/>
  <c r="G2327" i="53"/>
  <c r="G2328" i="53"/>
  <c r="G2329" i="53"/>
  <c r="G2330" i="53"/>
  <c r="G2331" i="53"/>
  <c r="G2332" i="53"/>
  <c r="G2333" i="53"/>
  <c r="G2334" i="53"/>
  <c r="G2335" i="53"/>
  <c r="G2336" i="53"/>
  <c r="G2337" i="53"/>
  <c r="G2338" i="53"/>
  <c r="G2339" i="53"/>
  <c r="G2340" i="53"/>
  <c r="G2341" i="53"/>
  <c r="G2342" i="53"/>
  <c r="G2343" i="53"/>
  <c r="G2344" i="53"/>
  <c r="G2345" i="53"/>
  <c r="G2346" i="53"/>
  <c r="G2347" i="53"/>
  <c r="G2348" i="53"/>
  <c r="G2349" i="53"/>
  <c r="G2350" i="53"/>
  <c r="G2351" i="53"/>
  <c r="G2352" i="53"/>
  <c r="G2353" i="53"/>
  <c r="G2354" i="53"/>
  <c r="G2355" i="53"/>
  <c r="G2356" i="53"/>
  <c r="G2357" i="53"/>
  <c r="G2358" i="53"/>
  <c r="G2359" i="53"/>
  <c r="G2360" i="53"/>
  <c r="G2361" i="53"/>
  <c r="G2362" i="53"/>
  <c r="G2363" i="53"/>
  <c r="G2364" i="53"/>
  <c r="G2365" i="53"/>
  <c r="G2366" i="53"/>
  <c r="G2367" i="53"/>
  <c r="G2368" i="53"/>
  <c r="G2369" i="53"/>
  <c r="G2370" i="53"/>
  <c r="G2371" i="53"/>
  <c r="G2372" i="53"/>
  <c r="G2373" i="53"/>
  <c r="G2374" i="53"/>
  <c r="G2375" i="53"/>
  <c r="G2376" i="53"/>
  <c r="G2377" i="53"/>
  <c r="G2378" i="53"/>
  <c r="G2379" i="53"/>
  <c r="G2380" i="53"/>
  <c r="G2381" i="53"/>
  <c r="G2382" i="53"/>
  <c r="G2383" i="53"/>
  <c r="G2384" i="53"/>
  <c r="G2385" i="53"/>
  <c r="G2386" i="53"/>
  <c r="G2387" i="53"/>
  <c r="G2388" i="53"/>
  <c r="G2389" i="53"/>
  <c r="G2390" i="53"/>
  <c r="G2391" i="53"/>
  <c r="G2392" i="53"/>
  <c r="G2393" i="53"/>
  <c r="G2394" i="53"/>
  <c r="G2395" i="53"/>
  <c r="G2396" i="53"/>
  <c r="G2397" i="53"/>
  <c r="G2398" i="53"/>
  <c r="G2399" i="53"/>
  <c r="G2400" i="53"/>
  <c r="G2401" i="53"/>
  <c r="G2402" i="53"/>
  <c r="G2403" i="53"/>
  <c r="G2404" i="53"/>
  <c r="G2405" i="53"/>
  <c r="G2406" i="53"/>
  <c r="G2407" i="53"/>
  <c r="G2408" i="53"/>
  <c r="G2409" i="53"/>
  <c r="G2410" i="53"/>
  <c r="G2411" i="53"/>
  <c r="G2412" i="53"/>
  <c r="G2413" i="53"/>
  <c r="G2414" i="53"/>
  <c r="G2415" i="53"/>
  <c r="G2416" i="53"/>
  <c r="G2417" i="53"/>
  <c r="G2418" i="53"/>
  <c r="G2419" i="53"/>
  <c r="G2420" i="53"/>
  <c r="G2421" i="53"/>
  <c r="G2422" i="53"/>
  <c r="G2423" i="53"/>
  <c r="G2424" i="53"/>
  <c r="G2425" i="53"/>
  <c r="G2426" i="53"/>
  <c r="G2427" i="53"/>
  <c r="G2428" i="53"/>
  <c r="G2429" i="53"/>
  <c r="G2430" i="53"/>
  <c r="G2431" i="53"/>
  <c r="G2432" i="53"/>
  <c r="G2433" i="53"/>
  <c r="G2434" i="53"/>
  <c r="G2435" i="53"/>
  <c r="G2436" i="53"/>
  <c r="G2437" i="53"/>
  <c r="G2438" i="53"/>
  <c r="G2439" i="53"/>
  <c r="G2440" i="53"/>
  <c r="G2441" i="53"/>
  <c r="G2442" i="53"/>
  <c r="G2443" i="53"/>
  <c r="G2444" i="53"/>
  <c r="G2445" i="53"/>
  <c r="G2446" i="53"/>
  <c r="G2447" i="53"/>
  <c r="G2448" i="53"/>
  <c r="G2449" i="53"/>
  <c r="G2450" i="53"/>
  <c r="G2451" i="53"/>
  <c r="G2452" i="53"/>
  <c r="G2453" i="53"/>
  <c r="G2454" i="53"/>
  <c r="G2455" i="53"/>
  <c r="G2456" i="53"/>
  <c r="G2457" i="53"/>
  <c r="G2458" i="53"/>
  <c r="G2459" i="53"/>
  <c r="G2460" i="53"/>
  <c r="G2461" i="53"/>
  <c r="G2462" i="53"/>
  <c r="G2463" i="53"/>
  <c r="G2464" i="53"/>
  <c r="G2465" i="53"/>
  <c r="G2466" i="53"/>
  <c r="G2467" i="53"/>
  <c r="G2468" i="53"/>
  <c r="G2469" i="53"/>
  <c r="G2470" i="53"/>
  <c r="G2471" i="53"/>
  <c r="G2472" i="53"/>
  <c r="G2473" i="53"/>
  <c r="G2474" i="53"/>
  <c r="G2475" i="53"/>
  <c r="G2476" i="53"/>
  <c r="G2477" i="53"/>
  <c r="G2478" i="53"/>
  <c r="G2479" i="53"/>
  <c r="G2480" i="53"/>
  <c r="G2481" i="53"/>
  <c r="G2482" i="53"/>
  <c r="G2483" i="53"/>
  <c r="G2484" i="53"/>
  <c r="G2485" i="53"/>
  <c r="G2486" i="53"/>
  <c r="G2487" i="53"/>
  <c r="G2488" i="53"/>
  <c r="G2489" i="53"/>
  <c r="G2490" i="53"/>
  <c r="G2491" i="53"/>
  <c r="G2492" i="53"/>
  <c r="G2493" i="53"/>
  <c r="G2494" i="53"/>
  <c r="G2495" i="53"/>
  <c r="G2496" i="53"/>
  <c r="G2497" i="53"/>
  <c r="G2498" i="53"/>
  <c r="G2499" i="53"/>
  <c r="G2500" i="53"/>
  <c r="G2501" i="53"/>
  <c r="G2502" i="53"/>
  <c r="G2503" i="53"/>
  <c r="G2504" i="53"/>
  <c r="G2505" i="53"/>
  <c r="G2506" i="53"/>
  <c r="G2507" i="53"/>
  <c r="G2508" i="53"/>
  <c r="G2509" i="53"/>
  <c r="G2510" i="53"/>
  <c r="G2511" i="53"/>
  <c r="G2512" i="53"/>
  <c r="G2513" i="53"/>
  <c r="G2514" i="53"/>
  <c r="G2515" i="53"/>
  <c r="G2516" i="53"/>
  <c r="G2517" i="53"/>
  <c r="G2518" i="53"/>
  <c r="G2519" i="53"/>
  <c r="G2520" i="53"/>
  <c r="G2521" i="53"/>
  <c r="G2522" i="53"/>
  <c r="G2523" i="53"/>
  <c r="G2524" i="53"/>
  <c r="G2525" i="53"/>
  <c r="G2526" i="53"/>
  <c r="G2527" i="53"/>
  <c r="G2528" i="53"/>
  <c r="G2529" i="53"/>
  <c r="G2530" i="53"/>
  <c r="G2531" i="53"/>
  <c r="G2532" i="53"/>
  <c r="G2533" i="53"/>
  <c r="G2534" i="53"/>
  <c r="G2535" i="53"/>
  <c r="G2536" i="53"/>
  <c r="G2537" i="53"/>
  <c r="G2538" i="53"/>
  <c r="G2539" i="53"/>
  <c r="G2540" i="53"/>
  <c r="G2541" i="53"/>
  <c r="G2542" i="53"/>
  <c r="G2543" i="53"/>
  <c r="G2544" i="53"/>
  <c r="G2545" i="53"/>
  <c r="G2546" i="53"/>
  <c r="G2547" i="53"/>
  <c r="G2548" i="53"/>
  <c r="G2549" i="53"/>
  <c r="G2550" i="53"/>
  <c r="G2551" i="53"/>
  <c r="G2552" i="53"/>
  <c r="G2553" i="53"/>
  <c r="G2554" i="53"/>
  <c r="G2555" i="53"/>
  <c r="G2556" i="53"/>
  <c r="G2557" i="53"/>
  <c r="G2558" i="53"/>
  <c r="G2559" i="53"/>
  <c r="G2560" i="53"/>
  <c r="G2561" i="53"/>
  <c r="G2562" i="53"/>
  <c r="G2563" i="53"/>
  <c r="G2564" i="53"/>
  <c r="G2565" i="53"/>
  <c r="G2566" i="53"/>
  <c r="G2567" i="53"/>
  <c r="G2568" i="53"/>
  <c r="G2569" i="53"/>
  <c r="G2570" i="53"/>
  <c r="G2571" i="53"/>
  <c r="G2572" i="53"/>
  <c r="G2573" i="53"/>
  <c r="G2574" i="53"/>
  <c r="G2575" i="53"/>
  <c r="G2576" i="53"/>
  <c r="G2577" i="53"/>
  <c r="G2578" i="53"/>
  <c r="G2579" i="53"/>
  <c r="G2580" i="53"/>
  <c r="G2581" i="53"/>
  <c r="G2582" i="53"/>
  <c r="G2583" i="53"/>
  <c r="G2584" i="53"/>
  <c r="G2585" i="53"/>
  <c r="G2586" i="53"/>
  <c r="G2587" i="53"/>
  <c r="G2588" i="53"/>
  <c r="G2589" i="53"/>
  <c r="G2590" i="53"/>
  <c r="G2591" i="53"/>
  <c r="G2592" i="53"/>
  <c r="G2593" i="53"/>
  <c r="G2594" i="53"/>
  <c r="G2595" i="53"/>
  <c r="G2596" i="53"/>
  <c r="G2597" i="53"/>
  <c r="G2598" i="53"/>
  <c r="G2599" i="53"/>
  <c r="G2600" i="53"/>
  <c r="G2601" i="53"/>
  <c r="G2602" i="53"/>
  <c r="G2603" i="53"/>
  <c r="G2604" i="53"/>
  <c r="G2605" i="53"/>
  <c r="G2606" i="53"/>
  <c r="G2607" i="53"/>
  <c r="G2608" i="53"/>
  <c r="G2609" i="53"/>
  <c r="G2610" i="53"/>
  <c r="G2611" i="53"/>
  <c r="G2612" i="53"/>
  <c r="G2613" i="53"/>
  <c r="G2614" i="53"/>
  <c r="G2615" i="53"/>
  <c r="G2616" i="53"/>
  <c r="G2617" i="53"/>
  <c r="G2618" i="53"/>
  <c r="G2619" i="53"/>
  <c r="G2620" i="53"/>
  <c r="G2621" i="53"/>
  <c r="G2622" i="53"/>
  <c r="G2623" i="53"/>
  <c r="G2624" i="53"/>
  <c r="G2625" i="53"/>
  <c r="G2626" i="53"/>
  <c r="G2627" i="53"/>
  <c r="G2628" i="53"/>
  <c r="G2629" i="53"/>
  <c r="G2630" i="53"/>
  <c r="G2631" i="53"/>
  <c r="G2632" i="53"/>
  <c r="G2633" i="53"/>
  <c r="G2634" i="53"/>
  <c r="G2635" i="53"/>
  <c r="G2636" i="53"/>
  <c r="G2637" i="53"/>
  <c r="G2638" i="53"/>
  <c r="G2639" i="53"/>
  <c r="G2640" i="53"/>
  <c r="G2641" i="53"/>
  <c r="G2642" i="53"/>
  <c r="G2643" i="53"/>
  <c r="G2644" i="53"/>
  <c r="G2645" i="53"/>
  <c r="G2646" i="53"/>
  <c r="G2647" i="53"/>
  <c r="G2648" i="53"/>
  <c r="G2649" i="53"/>
  <c r="G2650" i="53"/>
  <c r="G2651" i="53"/>
  <c r="G2652" i="53"/>
  <c r="G2653" i="53"/>
  <c r="G2654" i="53"/>
  <c r="G2655" i="53"/>
  <c r="G2656" i="53"/>
  <c r="G2657" i="53"/>
  <c r="G2658" i="53"/>
  <c r="G2659" i="53"/>
  <c r="G2660" i="53"/>
  <c r="G2661" i="53"/>
  <c r="G2662" i="53"/>
  <c r="G2663" i="53"/>
  <c r="G2664" i="53"/>
  <c r="G2665" i="53"/>
  <c r="G2666" i="53"/>
  <c r="G2667" i="53"/>
  <c r="G2668" i="53"/>
  <c r="G2669" i="53"/>
  <c r="G2670" i="53"/>
  <c r="G2671" i="53"/>
  <c r="G2672" i="53"/>
  <c r="G2673" i="53"/>
  <c r="G2674" i="53"/>
  <c r="G2675" i="53"/>
  <c r="G2676" i="53"/>
  <c r="G2677" i="53"/>
  <c r="G2678" i="53"/>
  <c r="G2679" i="53"/>
  <c r="G2680" i="53"/>
  <c r="G2681" i="53"/>
  <c r="G2682" i="53"/>
  <c r="G2683" i="53"/>
  <c r="G2684" i="53"/>
  <c r="G2685" i="53"/>
  <c r="G2686" i="53"/>
  <c r="G2687" i="53"/>
  <c r="G2688" i="53"/>
  <c r="G2689" i="53"/>
  <c r="G2690" i="53"/>
  <c r="G2691" i="53"/>
  <c r="G2692" i="53"/>
  <c r="G2693" i="53"/>
  <c r="G2694" i="53"/>
  <c r="G2695" i="53"/>
  <c r="G2696" i="53"/>
  <c r="G2697" i="53"/>
  <c r="G2698" i="53"/>
  <c r="G2699" i="53"/>
  <c r="G2700" i="53"/>
  <c r="G2701" i="53"/>
  <c r="G2702" i="53"/>
  <c r="G2703" i="53"/>
  <c r="G2704" i="53"/>
  <c r="G2705" i="53"/>
  <c r="G2706" i="53"/>
  <c r="G2707" i="53"/>
  <c r="G2708" i="53"/>
  <c r="G2709" i="53"/>
  <c r="G2710" i="53"/>
  <c r="G2711" i="53"/>
  <c r="G2712" i="53"/>
  <c r="G2713" i="53"/>
  <c r="G2714" i="53"/>
  <c r="G2715" i="53"/>
  <c r="G2716" i="53"/>
  <c r="G2717" i="53"/>
  <c r="G2718" i="53"/>
  <c r="G2719" i="53"/>
  <c r="G2720" i="53"/>
  <c r="G2721" i="53"/>
  <c r="G2722" i="53"/>
  <c r="G2723" i="53"/>
  <c r="G2724" i="53"/>
  <c r="G2725" i="53"/>
  <c r="G2726" i="53"/>
  <c r="G2727" i="53"/>
  <c r="G2728" i="53"/>
  <c r="G2729" i="53"/>
  <c r="G2730" i="53"/>
  <c r="G2731" i="53"/>
  <c r="G2732" i="53"/>
  <c r="G2733" i="53"/>
  <c r="G2734" i="53"/>
  <c r="G2735" i="53"/>
  <c r="G2736" i="53"/>
  <c r="G2737" i="53"/>
  <c r="G2738" i="53"/>
  <c r="G2739" i="53"/>
  <c r="G2740" i="53"/>
  <c r="G2741" i="53"/>
  <c r="G2742" i="53"/>
  <c r="G2743" i="53"/>
  <c r="G2744" i="53"/>
  <c r="G2745" i="53"/>
  <c r="G2746" i="53"/>
  <c r="G2747" i="53"/>
  <c r="G2748" i="53"/>
  <c r="G2749" i="53"/>
  <c r="G2750" i="53"/>
  <c r="G2751" i="53"/>
  <c r="G2752" i="53"/>
  <c r="G2753" i="53"/>
  <c r="G2754" i="53"/>
  <c r="G2755" i="53"/>
  <c r="G2756" i="53"/>
  <c r="G2757" i="53"/>
  <c r="G2758" i="53"/>
  <c r="G2759" i="53"/>
  <c r="G2760" i="53"/>
  <c r="G2761" i="53"/>
  <c r="G2762" i="53"/>
  <c r="G2763" i="53"/>
  <c r="G2764" i="53"/>
  <c r="G2765" i="53"/>
  <c r="G2766" i="53"/>
  <c r="G2767" i="53"/>
  <c r="G2768" i="53"/>
  <c r="G2769" i="53"/>
  <c r="G2770" i="53"/>
  <c r="G2771" i="53"/>
  <c r="G2772" i="53"/>
  <c r="G2773" i="53"/>
  <c r="G2774" i="53"/>
  <c r="G2775" i="53"/>
  <c r="G2776" i="53"/>
  <c r="G2777" i="53"/>
  <c r="G2778" i="53"/>
  <c r="G2779" i="53"/>
  <c r="G2780" i="53"/>
  <c r="G2781" i="53"/>
  <c r="G2782" i="53"/>
  <c r="G2783" i="53"/>
  <c r="G2784" i="53"/>
  <c r="G2785" i="53"/>
  <c r="G2786" i="53"/>
  <c r="G2787" i="53"/>
  <c r="G2788" i="53"/>
  <c r="G2789" i="53"/>
  <c r="G2790" i="53"/>
  <c r="G2791" i="53"/>
  <c r="G2792" i="53"/>
  <c r="G2793" i="53"/>
  <c r="G2794" i="53"/>
  <c r="G2795" i="53"/>
  <c r="G2796" i="53"/>
  <c r="G2797" i="53"/>
  <c r="G2798" i="53"/>
  <c r="G2799" i="53"/>
  <c r="G2800" i="53"/>
  <c r="G2801" i="53"/>
  <c r="G2802" i="53"/>
  <c r="G2803" i="53"/>
  <c r="G2804" i="53"/>
  <c r="G2805" i="53"/>
  <c r="G2806" i="53"/>
  <c r="G2807" i="53"/>
  <c r="G2808" i="53"/>
  <c r="G2809" i="53"/>
  <c r="G2810" i="53"/>
  <c r="G2811" i="53"/>
  <c r="G2812" i="53"/>
  <c r="G2813" i="53"/>
  <c r="G2814" i="53"/>
  <c r="G2815" i="53"/>
  <c r="G2816" i="53"/>
  <c r="G2817" i="53"/>
  <c r="G2818" i="53"/>
  <c r="G2819" i="53"/>
  <c r="G2820" i="53"/>
  <c r="G2821" i="53"/>
  <c r="G2822" i="53"/>
  <c r="G2823" i="53"/>
  <c r="G2824" i="53"/>
  <c r="G2825" i="53"/>
  <c r="G2826" i="53"/>
  <c r="G2827" i="53"/>
  <c r="G2828" i="53"/>
  <c r="G2829" i="53"/>
  <c r="G2830" i="53"/>
  <c r="G2831" i="53"/>
  <c r="G2832" i="53"/>
  <c r="G2833" i="53"/>
  <c r="G2834" i="53"/>
  <c r="G2835" i="53"/>
  <c r="G2836" i="53"/>
  <c r="G2837" i="53"/>
  <c r="G2838" i="53"/>
  <c r="G2839" i="53"/>
  <c r="G2840" i="53"/>
  <c r="G2841" i="53"/>
  <c r="G2842" i="53"/>
  <c r="G2843" i="53"/>
  <c r="G2844" i="53"/>
  <c r="G2845" i="53"/>
  <c r="G2846" i="53"/>
  <c r="G2847" i="53"/>
  <c r="G2848" i="53"/>
  <c r="G2849" i="53"/>
  <c r="G2850" i="53"/>
  <c r="G2851" i="53"/>
  <c r="G2852" i="53"/>
  <c r="G2853" i="53"/>
  <c r="G2854" i="53"/>
  <c r="G2855" i="53"/>
  <c r="G2856" i="53"/>
  <c r="G2857" i="53"/>
  <c r="G2858" i="53"/>
  <c r="G2859" i="53"/>
  <c r="G2860" i="53"/>
  <c r="G2861" i="53"/>
  <c r="G2862" i="53"/>
  <c r="G2863" i="53"/>
  <c r="G2864" i="53"/>
  <c r="G2865" i="53"/>
  <c r="G2866" i="53"/>
  <c r="G2867" i="53"/>
  <c r="G2868" i="53"/>
  <c r="G2869" i="53"/>
  <c r="G2870" i="53"/>
  <c r="G2871" i="53"/>
  <c r="G2872" i="53"/>
  <c r="G2873" i="53"/>
  <c r="G2874" i="53"/>
  <c r="G2875" i="53"/>
  <c r="G2876" i="53"/>
  <c r="G2877" i="53"/>
  <c r="G2878" i="53"/>
  <c r="G2879" i="53"/>
  <c r="G2880" i="53"/>
  <c r="G2881" i="53"/>
  <c r="G2882" i="53"/>
  <c r="G2883" i="53"/>
  <c r="G2884" i="53"/>
  <c r="G2885" i="53"/>
  <c r="G2886" i="53"/>
  <c r="G2887" i="53"/>
  <c r="G2888" i="53"/>
  <c r="G2889" i="53"/>
  <c r="G2890" i="53"/>
  <c r="G2891" i="53"/>
  <c r="G2892" i="53"/>
  <c r="G2893" i="53"/>
  <c r="G2894" i="53"/>
  <c r="G2895" i="53"/>
  <c r="G2896" i="53"/>
  <c r="G2897" i="53"/>
  <c r="G2898" i="53"/>
  <c r="G2899" i="53"/>
  <c r="G2900" i="53"/>
  <c r="G2901" i="53"/>
  <c r="G2902" i="53"/>
  <c r="G2903" i="53"/>
  <c r="G2904" i="53"/>
  <c r="G2905" i="53"/>
  <c r="G2906" i="53"/>
  <c r="G2907" i="53"/>
  <c r="G2908" i="53"/>
  <c r="G2909" i="53"/>
  <c r="G2910" i="53"/>
  <c r="G2911" i="53"/>
  <c r="G2912" i="53"/>
  <c r="G2913" i="53"/>
  <c r="G2914" i="53"/>
  <c r="G2915" i="53"/>
  <c r="G2916" i="53"/>
  <c r="G2917" i="53"/>
  <c r="G2918" i="53"/>
  <c r="G2919" i="53"/>
  <c r="G2920" i="53"/>
  <c r="G2921" i="53"/>
  <c r="G2922" i="53"/>
  <c r="G2923" i="53"/>
  <c r="G2924" i="53"/>
  <c r="G2925" i="53"/>
  <c r="G2926" i="53"/>
  <c r="G2927" i="53"/>
  <c r="G2928" i="53"/>
  <c r="G2929" i="53"/>
  <c r="G2930" i="53"/>
  <c r="G2931" i="53"/>
  <c r="G2932" i="53"/>
  <c r="G2933" i="53"/>
  <c r="G2934" i="53"/>
  <c r="G2935" i="53"/>
  <c r="G2936" i="53"/>
  <c r="G2937" i="53"/>
  <c r="G2938" i="53"/>
  <c r="G2939" i="53"/>
  <c r="G2940" i="53"/>
  <c r="G2941" i="53"/>
  <c r="G2942" i="53"/>
  <c r="G2943" i="53"/>
  <c r="G2944" i="53"/>
  <c r="G2945" i="53"/>
  <c r="G2946" i="53"/>
  <c r="G2947" i="53"/>
  <c r="G2948" i="53"/>
  <c r="G2949" i="53"/>
  <c r="G2950" i="53"/>
  <c r="G2951" i="53"/>
  <c r="G2952" i="53"/>
  <c r="G2953" i="53"/>
  <c r="G2954" i="53"/>
  <c r="G2955" i="53"/>
  <c r="G2956" i="53"/>
  <c r="G2957" i="53"/>
  <c r="G2958" i="53"/>
  <c r="G2959" i="53"/>
  <c r="G2960" i="53"/>
  <c r="G2961" i="53"/>
  <c r="G2962" i="53"/>
  <c r="G2963" i="53"/>
  <c r="G2964" i="53"/>
  <c r="G2965" i="53"/>
  <c r="G2966" i="53"/>
  <c r="G2967" i="53"/>
  <c r="G2968" i="53"/>
  <c r="G2969" i="53"/>
  <c r="G2970" i="53"/>
  <c r="G2971" i="53"/>
  <c r="G2972" i="53"/>
  <c r="G2973" i="53"/>
  <c r="G2974" i="53"/>
  <c r="G2975" i="53"/>
  <c r="G2976" i="53"/>
  <c r="G2977" i="53"/>
  <c r="G2978" i="53"/>
  <c r="G2979" i="53"/>
  <c r="G2980" i="53"/>
  <c r="G2981" i="53"/>
  <c r="G2982" i="53"/>
  <c r="G2983" i="53"/>
  <c r="G2984" i="53"/>
  <c r="G2985" i="53"/>
  <c r="G2986" i="53"/>
  <c r="G2987" i="53"/>
  <c r="G2988" i="53"/>
  <c r="G2989" i="53"/>
  <c r="G2990" i="53"/>
  <c r="G2991" i="53"/>
  <c r="G2992" i="53"/>
  <c r="G2993" i="53"/>
  <c r="G2994" i="53"/>
  <c r="G2995" i="53"/>
  <c r="G2996" i="53"/>
  <c r="G2997" i="53"/>
  <c r="G2998" i="53"/>
  <c r="G2999" i="53"/>
  <c r="G3000" i="53"/>
  <c r="G3001" i="53"/>
  <c r="G3002" i="53"/>
  <c r="G3003" i="53"/>
  <c r="G3004" i="53"/>
  <c r="G3005" i="53"/>
  <c r="G3006" i="53"/>
  <c r="G3007" i="53"/>
  <c r="G3008" i="53"/>
  <c r="G3009" i="53"/>
  <c r="G3010" i="53"/>
  <c r="G3011" i="53"/>
  <c r="G3012" i="53"/>
  <c r="G3013" i="53"/>
  <c r="G3014" i="53"/>
  <c r="G3015" i="53"/>
  <c r="G3016" i="53"/>
  <c r="G3017" i="53"/>
  <c r="G3018" i="53"/>
  <c r="G3019" i="53"/>
  <c r="G3020" i="53"/>
  <c r="G3021" i="53"/>
  <c r="G3022" i="53"/>
  <c r="G3023" i="53"/>
  <c r="G3024" i="53"/>
  <c r="G3025" i="53"/>
  <c r="G3026" i="53"/>
  <c r="G3027" i="53"/>
  <c r="G3028" i="53"/>
  <c r="G3029" i="53"/>
  <c r="G3030" i="53"/>
  <c r="G3031" i="53"/>
  <c r="G3032" i="53"/>
  <c r="G3033" i="53"/>
  <c r="G3034" i="53"/>
  <c r="G3035" i="53"/>
  <c r="G3036" i="53"/>
  <c r="G3037" i="53"/>
  <c r="G3038" i="53"/>
  <c r="G3039" i="53"/>
  <c r="G3040" i="53"/>
  <c r="G3041" i="53"/>
  <c r="G3042" i="53"/>
  <c r="G3043" i="53"/>
  <c r="G3044" i="53"/>
  <c r="G3045" i="53"/>
  <c r="G3046" i="53"/>
  <c r="G3047" i="53"/>
  <c r="G3048" i="53"/>
  <c r="G3049" i="53"/>
  <c r="G3050" i="53"/>
  <c r="G3051" i="53"/>
  <c r="G3052" i="53"/>
  <c r="G3053" i="53"/>
  <c r="G3054" i="53"/>
  <c r="G3055" i="53"/>
  <c r="G3056" i="53"/>
  <c r="G3057" i="53"/>
  <c r="G3058" i="53"/>
  <c r="G3059" i="53"/>
  <c r="G3060" i="53"/>
  <c r="G3061" i="53"/>
  <c r="G3062" i="53"/>
  <c r="G3063" i="53"/>
  <c r="G3064" i="53"/>
  <c r="G3065" i="53"/>
  <c r="G3066" i="53"/>
  <c r="G3067" i="53"/>
  <c r="G3068" i="53"/>
  <c r="G3069" i="53"/>
  <c r="G3070" i="53"/>
  <c r="G3071" i="53"/>
  <c r="G3072" i="53"/>
  <c r="G3073" i="53"/>
  <c r="G3074" i="53"/>
  <c r="G3075" i="53"/>
  <c r="G3076" i="53"/>
  <c r="G3077" i="53"/>
  <c r="G3078" i="53"/>
  <c r="G3079" i="53"/>
  <c r="G3080" i="53"/>
  <c r="G3081" i="53"/>
  <c r="G3082" i="53"/>
  <c r="G3083" i="53"/>
  <c r="G3084" i="53"/>
  <c r="G3085" i="53"/>
  <c r="G3086" i="53"/>
  <c r="G3087" i="53"/>
  <c r="G3088" i="53"/>
  <c r="G3089" i="53"/>
  <c r="G3090" i="53"/>
  <c r="G3091" i="53"/>
  <c r="G3092" i="53"/>
  <c r="G3093" i="53"/>
  <c r="G3094" i="53"/>
  <c r="G3095" i="53"/>
  <c r="G3096" i="53"/>
  <c r="G3097" i="53"/>
  <c r="G3098" i="53"/>
  <c r="G3099" i="53"/>
  <c r="G3100" i="53"/>
  <c r="G3101" i="53"/>
  <c r="G3102" i="53"/>
  <c r="G3103" i="53"/>
  <c r="G3104" i="53"/>
  <c r="G3105" i="53"/>
  <c r="G3106" i="53"/>
  <c r="G3107" i="53"/>
  <c r="G3108" i="53"/>
  <c r="G3109" i="53"/>
  <c r="G3110" i="53"/>
  <c r="G3111" i="53"/>
  <c r="G3112" i="53"/>
  <c r="G3113" i="53"/>
  <c r="G3114" i="53"/>
  <c r="G3115" i="53"/>
  <c r="G3116" i="53"/>
  <c r="G3117" i="53"/>
  <c r="G3118" i="53"/>
  <c r="G3119" i="53"/>
  <c r="G3120" i="53"/>
  <c r="G3121" i="53"/>
  <c r="G3122" i="53"/>
  <c r="G3123" i="53"/>
  <c r="G3124" i="53"/>
  <c r="G3125" i="53"/>
  <c r="G3126" i="53"/>
  <c r="G3127" i="53"/>
  <c r="G3128" i="53"/>
  <c r="G3129" i="53"/>
  <c r="G3130" i="53"/>
  <c r="G3131" i="53"/>
  <c r="G3132" i="53"/>
  <c r="G3133" i="53"/>
  <c r="G3134" i="53"/>
  <c r="G3135" i="53"/>
  <c r="G3136" i="53"/>
  <c r="G3137" i="53"/>
  <c r="G3138" i="53"/>
  <c r="G3139" i="53"/>
  <c r="G3140" i="53"/>
  <c r="G3141" i="53"/>
  <c r="G3142" i="53"/>
  <c r="G3143" i="53"/>
  <c r="G3144" i="53"/>
  <c r="G3145" i="53"/>
  <c r="G3146" i="53"/>
  <c r="G3147" i="53"/>
  <c r="G3148" i="53"/>
  <c r="G3149" i="53"/>
  <c r="G3150" i="53"/>
  <c r="G3151" i="53"/>
  <c r="G3152" i="53"/>
  <c r="G3153" i="53"/>
  <c r="G3154" i="53"/>
  <c r="G3155" i="53"/>
  <c r="G3156" i="53"/>
  <c r="G3157" i="53"/>
  <c r="G3158" i="53"/>
  <c r="G3159" i="53"/>
  <c r="G3160" i="53"/>
  <c r="G3161" i="53"/>
  <c r="G3162" i="53"/>
  <c r="G3163" i="53"/>
  <c r="G3164" i="53"/>
  <c r="G3165" i="53"/>
  <c r="G3166" i="53"/>
  <c r="G3167" i="53"/>
  <c r="G3168" i="53"/>
  <c r="G3169" i="53"/>
  <c r="G3170" i="53"/>
  <c r="G3171" i="53"/>
  <c r="G3172" i="53"/>
  <c r="G3173" i="53"/>
  <c r="G3174" i="53"/>
  <c r="G3175" i="53"/>
  <c r="G3176" i="53"/>
  <c r="G3177" i="53"/>
  <c r="G3178" i="53"/>
  <c r="G3179" i="53"/>
  <c r="G3180" i="53"/>
  <c r="G3181" i="53"/>
  <c r="G3182" i="53"/>
  <c r="G3183" i="53"/>
  <c r="G3184" i="53"/>
  <c r="G3185" i="53"/>
  <c r="G3186" i="53"/>
  <c r="G3187" i="53"/>
  <c r="G3188" i="53"/>
  <c r="G3189" i="53"/>
  <c r="G3190" i="53"/>
  <c r="G3191" i="53"/>
  <c r="G3192" i="53"/>
  <c r="G3193" i="53"/>
  <c r="G3194" i="53"/>
  <c r="G3195" i="53"/>
  <c r="G3196" i="53"/>
  <c r="G3197" i="53"/>
  <c r="G3198" i="53"/>
  <c r="G3199" i="53"/>
  <c r="G3200" i="53"/>
  <c r="G3201" i="53"/>
  <c r="G3202" i="53"/>
  <c r="G3203" i="53"/>
  <c r="G3204" i="53"/>
  <c r="G3205" i="53"/>
  <c r="G3206" i="53"/>
  <c r="G3207" i="53"/>
  <c r="G3208" i="53"/>
  <c r="G3209" i="53"/>
  <c r="G3210" i="53"/>
  <c r="G3211" i="53"/>
  <c r="G3212" i="53"/>
  <c r="G3213" i="53"/>
  <c r="G3214" i="53"/>
  <c r="G3215" i="53"/>
  <c r="G3216" i="53"/>
  <c r="G3217" i="53"/>
  <c r="G3218" i="53"/>
  <c r="G3219" i="53"/>
  <c r="G3220" i="53"/>
  <c r="G3221" i="53"/>
  <c r="G3222" i="53"/>
  <c r="G3223" i="53"/>
  <c r="G3224" i="53"/>
  <c r="G3225" i="53"/>
  <c r="G3226" i="53"/>
  <c r="G3227" i="53"/>
  <c r="G3228" i="53"/>
  <c r="G3229" i="53"/>
  <c r="G3230" i="53"/>
  <c r="G3231" i="53"/>
  <c r="G3232" i="53"/>
  <c r="G3233" i="53"/>
  <c r="G3234" i="53"/>
  <c r="G3235" i="53"/>
  <c r="G3236" i="53"/>
  <c r="G3237" i="53"/>
  <c r="G3238" i="53"/>
  <c r="G3239" i="53"/>
  <c r="G3240" i="53"/>
  <c r="G3241" i="53"/>
  <c r="G3242" i="53"/>
  <c r="G3243" i="53"/>
  <c r="G3244" i="53"/>
  <c r="G3245" i="53"/>
  <c r="G3246" i="53"/>
  <c r="G3247" i="53"/>
  <c r="G3248" i="53"/>
  <c r="G3249" i="53"/>
  <c r="G3250" i="53"/>
  <c r="G3251" i="53"/>
  <c r="G3252" i="53"/>
  <c r="G3253" i="53"/>
  <c r="G3254" i="53"/>
  <c r="G3255" i="53"/>
  <c r="G3256" i="53"/>
  <c r="G3257" i="53"/>
  <c r="G3258" i="53"/>
  <c r="G3259" i="53"/>
  <c r="G3260" i="53"/>
  <c r="G3261" i="53"/>
  <c r="G3262" i="53"/>
  <c r="G3263" i="53"/>
  <c r="G3264" i="53"/>
  <c r="G3265" i="53"/>
  <c r="G3266" i="53"/>
  <c r="G3267" i="53"/>
  <c r="G3268" i="53"/>
  <c r="G3269" i="53"/>
  <c r="G3270" i="53"/>
  <c r="G3271" i="53"/>
  <c r="G3272" i="53"/>
  <c r="G3273" i="53"/>
  <c r="G3274" i="53"/>
  <c r="G3275" i="53"/>
  <c r="G3276" i="53"/>
  <c r="G3277" i="53"/>
  <c r="G3278" i="53"/>
  <c r="G3279" i="53"/>
  <c r="G3280" i="53"/>
  <c r="G3281" i="53"/>
  <c r="G3282" i="53"/>
  <c r="G3283" i="53"/>
  <c r="G3284" i="53"/>
  <c r="G3285" i="53"/>
  <c r="G3286" i="53"/>
  <c r="G3287" i="53"/>
  <c r="G3288" i="53"/>
  <c r="G3289" i="53"/>
  <c r="G3290" i="53"/>
  <c r="G3291" i="53"/>
  <c r="G3292" i="53"/>
  <c r="G3293" i="53"/>
  <c r="G3294" i="53"/>
  <c r="G3295" i="53"/>
  <c r="G3296" i="53"/>
  <c r="G3297" i="53"/>
  <c r="G3298" i="53"/>
  <c r="G3299" i="53"/>
  <c r="G3300" i="53"/>
  <c r="G3301" i="53"/>
  <c r="G3302" i="53"/>
  <c r="G3303" i="53"/>
  <c r="G3304" i="53"/>
  <c r="G3305" i="53"/>
  <c r="G3306" i="53"/>
  <c r="G3307" i="53"/>
  <c r="G3308" i="53"/>
  <c r="G3309" i="53"/>
  <c r="G3310" i="53"/>
  <c r="G3311" i="53"/>
  <c r="G3312" i="53"/>
  <c r="G3313" i="53"/>
  <c r="G3314" i="53"/>
  <c r="G3315" i="53"/>
  <c r="G3316" i="53"/>
  <c r="G3317" i="53"/>
  <c r="G3318" i="53"/>
  <c r="G3319" i="53"/>
  <c r="G3320" i="53"/>
  <c r="G3321" i="53"/>
  <c r="G3322" i="53"/>
  <c r="G3323" i="53"/>
  <c r="G3324" i="53"/>
  <c r="G3325" i="53"/>
  <c r="G3326" i="53"/>
  <c r="G3327" i="53"/>
  <c r="G3328" i="53"/>
  <c r="G3329" i="53"/>
  <c r="G3330" i="53"/>
  <c r="G3331" i="53"/>
  <c r="G3332" i="53"/>
  <c r="G3333" i="53"/>
  <c r="G3334" i="53"/>
  <c r="G3335" i="53"/>
  <c r="G3336" i="53"/>
  <c r="G3337" i="53"/>
  <c r="G3338" i="53"/>
  <c r="G3339" i="53"/>
  <c r="G3340" i="53"/>
  <c r="G3341" i="53"/>
  <c r="G3342" i="53"/>
  <c r="G3343" i="53"/>
  <c r="G3344" i="53"/>
  <c r="G3345" i="53"/>
  <c r="G3346" i="53"/>
  <c r="G3347" i="53"/>
  <c r="G3348" i="53"/>
  <c r="G3349" i="53"/>
  <c r="G3350" i="53"/>
  <c r="G3351" i="53"/>
  <c r="G3352" i="53"/>
  <c r="G3353" i="53"/>
  <c r="G3354" i="53"/>
  <c r="G3355" i="53"/>
  <c r="G3356" i="53"/>
  <c r="G3357" i="53"/>
  <c r="G3358" i="53"/>
  <c r="G3359" i="53"/>
  <c r="G3360" i="53"/>
  <c r="G3361" i="53"/>
  <c r="G3362" i="53"/>
  <c r="G3363" i="53"/>
  <c r="G3364" i="53"/>
  <c r="G3365" i="53"/>
  <c r="G3366" i="53"/>
  <c r="G3367" i="53"/>
  <c r="G3368" i="53"/>
  <c r="G3369" i="53"/>
  <c r="G3370" i="53"/>
  <c r="G3371" i="53"/>
  <c r="G3372" i="53"/>
  <c r="G3373" i="53"/>
  <c r="G3374" i="53"/>
  <c r="G3375" i="53"/>
  <c r="G3376" i="53"/>
  <c r="G3377" i="53"/>
  <c r="G3378" i="53"/>
  <c r="G3379" i="53"/>
  <c r="G3380" i="53"/>
  <c r="G3381" i="53"/>
  <c r="G3382" i="53"/>
  <c r="G3383" i="53"/>
  <c r="G3384" i="53"/>
  <c r="G3385" i="53"/>
  <c r="G3386" i="53"/>
  <c r="G3387" i="53"/>
  <c r="G3388" i="53"/>
  <c r="G3389" i="53"/>
  <c r="G3390" i="53"/>
  <c r="G3391" i="53"/>
  <c r="G3392" i="53"/>
  <c r="G3393" i="53"/>
  <c r="G3394" i="53"/>
  <c r="G3395" i="53"/>
  <c r="G3396" i="53"/>
  <c r="G3397" i="53"/>
  <c r="G3398" i="53"/>
  <c r="G3399" i="53"/>
  <c r="G3400" i="53"/>
  <c r="G3401" i="53"/>
  <c r="G3402" i="53"/>
  <c r="G3403" i="53"/>
  <c r="G3404" i="53"/>
  <c r="G3405" i="53"/>
  <c r="G3406" i="53"/>
  <c r="G3407" i="53"/>
  <c r="G3408" i="53"/>
  <c r="G3409" i="53"/>
  <c r="G3410" i="53"/>
  <c r="G3411" i="53"/>
  <c r="G3412" i="53"/>
  <c r="G3413" i="53"/>
  <c r="G3414" i="53"/>
  <c r="G3415" i="53"/>
  <c r="G3416" i="53"/>
  <c r="G3417" i="53"/>
  <c r="G3418" i="53"/>
  <c r="G3419" i="53"/>
  <c r="G3420" i="53"/>
  <c r="G3421" i="53"/>
  <c r="G3422" i="53"/>
  <c r="G3423" i="53"/>
  <c r="G3424" i="53"/>
  <c r="G3425" i="53"/>
  <c r="G3426" i="53"/>
  <c r="G3427" i="53"/>
  <c r="G3428" i="53"/>
  <c r="G3429" i="53"/>
  <c r="G3430" i="53"/>
  <c r="G3431" i="53"/>
  <c r="G3432" i="53"/>
  <c r="G3433" i="53"/>
  <c r="G3434" i="53"/>
  <c r="G3435" i="53"/>
  <c r="G3436" i="53"/>
  <c r="G3437" i="53"/>
  <c r="G3438" i="53"/>
  <c r="G3439" i="53"/>
  <c r="G3440" i="53"/>
  <c r="G3441" i="53"/>
  <c r="G3442" i="53"/>
  <c r="G3443" i="53"/>
  <c r="G3444" i="53"/>
  <c r="G3445" i="53"/>
  <c r="G3446" i="53"/>
  <c r="G3447" i="53"/>
  <c r="G3448" i="53"/>
  <c r="G3449" i="53"/>
  <c r="G3450" i="53"/>
  <c r="G3451" i="53"/>
  <c r="G3452" i="53"/>
  <c r="G3453" i="53"/>
  <c r="G3454" i="53"/>
  <c r="G3455" i="53"/>
  <c r="G3456" i="53"/>
  <c r="G3457" i="53"/>
  <c r="G3458" i="53"/>
  <c r="G3459" i="53"/>
  <c r="G3460" i="53"/>
  <c r="G3461" i="53"/>
  <c r="G3462" i="53"/>
  <c r="G3463" i="53"/>
  <c r="G3464" i="53"/>
  <c r="G3465" i="53"/>
  <c r="G3466" i="53"/>
  <c r="G3467" i="53"/>
  <c r="G3468" i="53"/>
  <c r="G3469" i="53"/>
  <c r="G3470" i="53"/>
  <c r="G3471" i="53"/>
  <c r="G3472" i="53"/>
  <c r="G3473" i="53"/>
  <c r="G3474" i="53"/>
  <c r="G3475" i="53"/>
  <c r="G3476" i="53"/>
  <c r="G3477" i="53"/>
  <c r="G3478" i="53"/>
  <c r="G3479" i="53"/>
  <c r="G3480" i="53"/>
  <c r="G3481" i="53"/>
  <c r="G3482" i="53"/>
  <c r="G3483" i="53"/>
  <c r="G3484" i="53"/>
  <c r="G3485" i="53"/>
  <c r="G3486" i="53"/>
  <c r="G3487" i="53"/>
  <c r="G3488" i="53"/>
  <c r="G3489" i="53"/>
  <c r="G3490" i="53"/>
  <c r="G3491" i="53"/>
  <c r="G3492" i="53"/>
  <c r="G3493" i="53"/>
  <c r="G3494" i="53"/>
  <c r="G3495" i="53"/>
  <c r="G3496" i="53"/>
  <c r="G3497" i="53"/>
  <c r="G3498" i="53"/>
  <c r="G3499" i="53"/>
  <c r="G3500" i="53"/>
  <c r="G3501" i="53"/>
  <c r="G3502" i="53"/>
  <c r="G3503" i="53"/>
  <c r="G3504" i="53"/>
  <c r="G3505" i="53"/>
  <c r="G3506" i="53"/>
  <c r="G3507" i="53"/>
  <c r="G3508" i="53"/>
  <c r="G3509" i="53"/>
  <c r="G3510" i="53"/>
  <c r="G3511" i="53"/>
  <c r="G3512" i="53"/>
  <c r="G3513" i="53"/>
  <c r="G3514" i="53"/>
  <c r="G3515" i="53"/>
  <c r="G3516" i="53"/>
  <c r="G3517" i="53"/>
  <c r="G3518" i="53"/>
  <c r="G3519" i="53"/>
  <c r="G3520" i="53"/>
  <c r="G3521" i="53"/>
  <c r="G3522" i="53"/>
  <c r="G3523" i="53"/>
  <c r="G3524" i="53"/>
  <c r="G3525" i="53"/>
  <c r="G3526" i="53"/>
  <c r="G3527" i="53"/>
  <c r="G3528" i="53"/>
  <c r="G3529" i="53"/>
  <c r="G3530" i="53"/>
  <c r="G3531" i="53"/>
  <c r="G3532" i="53"/>
  <c r="G3533" i="53"/>
  <c r="G3534" i="53"/>
  <c r="G3535" i="53"/>
  <c r="G3536" i="53"/>
  <c r="G3537" i="53"/>
  <c r="G3538" i="53"/>
  <c r="G3539" i="53"/>
  <c r="G3540" i="53"/>
  <c r="G3541" i="53"/>
  <c r="G3542" i="53"/>
  <c r="G3543" i="53"/>
  <c r="G3544" i="53"/>
  <c r="G3545" i="53"/>
  <c r="G3546" i="53"/>
  <c r="G3547" i="53"/>
  <c r="G3548" i="53"/>
  <c r="G3549" i="53"/>
  <c r="G3550" i="53"/>
  <c r="G3551" i="53"/>
  <c r="G3552" i="53"/>
  <c r="G3553" i="53"/>
  <c r="G3554" i="53"/>
  <c r="G3555" i="53"/>
  <c r="G3556" i="53"/>
  <c r="G3557" i="53"/>
  <c r="G3558" i="53"/>
  <c r="G3559" i="53"/>
  <c r="G3560" i="53"/>
  <c r="G3561" i="53"/>
  <c r="G3562" i="53"/>
  <c r="G3563" i="53"/>
  <c r="G3564" i="53"/>
  <c r="G3565" i="53"/>
  <c r="G3566" i="53"/>
  <c r="G3567" i="53"/>
  <c r="G3568" i="53"/>
  <c r="G3569" i="53"/>
  <c r="G3570" i="53"/>
  <c r="G3571" i="53"/>
  <c r="G3572" i="53"/>
  <c r="G3573" i="53"/>
  <c r="G3574" i="53"/>
  <c r="G3575" i="53"/>
  <c r="G3576" i="53"/>
  <c r="G3577" i="53"/>
  <c r="G3578" i="53"/>
  <c r="G3579" i="53"/>
  <c r="G3580" i="53"/>
  <c r="G3581" i="53"/>
  <c r="G3582" i="53"/>
  <c r="G3583" i="53"/>
  <c r="G3584" i="53"/>
  <c r="G3585" i="53"/>
  <c r="G3586" i="53"/>
  <c r="G3587" i="53"/>
  <c r="G3588" i="53"/>
  <c r="G3589" i="53"/>
  <c r="G3590" i="53"/>
  <c r="G3591" i="53"/>
  <c r="G3592" i="53"/>
  <c r="G3593" i="53"/>
  <c r="G3594" i="53"/>
  <c r="G3595" i="53"/>
  <c r="G3596" i="53"/>
  <c r="G3597" i="53"/>
  <c r="G3598" i="53"/>
  <c r="G3599" i="53"/>
  <c r="G3600" i="53"/>
  <c r="G3601" i="53"/>
  <c r="G3602" i="53"/>
  <c r="G3603" i="53"/>
  <c r="G3604" i="53"/>
  <c r="G3605" i="53"/>
  <c r="G3606" i="53"/>
  <c r="G3607" i="53"/>
  <c r="G3608" i="53"/>
  <c r="G3609" i="53"/>
  <c r="G3610" i="53"/>
  <c r="G3611" i="53"/>
  <c r="G3612" i="53"/>
  <c r="G3613" i="53"/>
  <c r="G3614" i="53"/>
  <c r="G3615" i="53"/>
  <c r="G3616" i="53"/>
  <c r="G3617" i="53"/>
  <c r="G3618" i="53"/>
  <c r="G3619" i="53"/>
  <c r="G3620" i="53"/>
  <c r="G3621" i="53"/>
  <c r="G3622" i="53"/>
  <c r="G3623" i="53"/>
  <c r="G3624" i="53"/>
  <c r="G3625" i="53"/>
  <c r="G3626" i="53"/>
  <c r="G3627" i="53"/>
  <c r="G3628" i="53"/>
  <c r="G3629" i="53"/>
  <c r="G3630" i="53"/>
  <c r="G3631" i="53"/>
  <c r="G3632" i="53"/>
  <c r="G3633" i="53"/>
  <c r="G3634" i="53"/>
  <c r="G3635" i="53"/>
  <c r="G3636" i="53"/>
  <c r="G3637" i="53"/>
  <c r="G3638" i="53"/>
  <c r="G3639" i="53"/>
  <c r="G3640" i="53"/>
  <c r="G3641" i="53"/>
  <c r="G3642" i="53"/>
  <c r="G3643" i="53"/>
  <c r="G3644" i="53"/>
  <c r="G3645" i="53"/>
  <c r="G3646" i="53"/>
  <c r="G3647" i="53"/>
  <c r="G3648" i="53"/>
  <c r="G3649" i="53"/>
  <c r="G3650" i="53"/>
  <c r="G3651" i="53"/>
  <c r="G3652" i="53"/>
  <c r="G3653" i="53"/>
  <c r="G3654" i="53"/>
  <c r="G3655" i="53"/>
  <c r="G3656" i="53"/>
  <c r="G3657" i="53"/>
  <c r="G3658" i="53"/>
  <c r="G3659" i="53"/>
  <c r="G3660" i="53"/>
  <c r="G3661" i="53"/>
  <c r="G3662" i="53"/>
  <c r="G3663" i="53"/>
  <c r="G3664" i="53"/>
  <c r="G3665" i="53"/>
  <c r="G3666" i="53"/>
  <c r="G3667" i="53"/>
  <c r="G3668" i="53"/>
  <c r="G3669" i="53"/>
  <c r="G3670" i="53"/>
  <c r="G3671" i="53"/>
  <c r="G3672" i="53"/>
  <c r="G3673" i="53"/>
  <c r="G3674" i="53"/>
  <c r="G3675" i="53"/>
  <c r="G3676" i="53"/>
  <c r="G3677" i="53"/>
  <c r="G3678" i="53"/>
  <c r="G3679" i="53"/>
  <c r="G3680" i="53"/>
  <c r="G3681" i="53"/>
  <c r="G3682" i="53"/>
  <c r="G3683" i="53"/>
  <c r="G3684" i="53"/>
  <c r="G3685" i="53"/>
  <c r="G3686" i="53"/>
  <c r="G3687" i="53"/>
  <c r="G3688" i="53"/>
  <c r="G3689" i="53"/>
  <c r="G3690" i="53"/>
  <c r="G3691" i="53"/>
  <c r="G3692" i="53"/>
  <c r="G3693" i="53"/>
  <c r="G3694" i="53"/>
  <c r="G3695" i="53"/>
  <c r="G3696" i="53"/>
  <c r="G3697" i="53"/>
  <c r="G3698" i="53"/>
  <c r="G3699" i="53"/>
  <c r="G3700" i="53"/>
  <c r="G3701" i="53"/>
  <c r="G3702" i="53"/>
  <c r="G3703" i="53"/>
  <c r="G3704" i="53"/>
  <c r="G3705" i="53"/>
  <c r="G3706" i="53"/>
  <c r="G3707" i="53"/>
  <c r="G3708" i="53"/>
  <c r="G3709" i="53"/>
  <c r="G3710" i="53"/>
  <c r="G3711" i="53"/>
  <c r="G3712" i="53"/>
  <c r="G3713" i="53"/>
  <c r="G3714" i="53"/>
  <c r="G3715" i="53"/>
  <c r="G3716" i="53"/>
  <c r="G3717" i="53"/>
  <c r="G3718" i="53"/>
  <c r="G3719" i="53"/>
  <c r="G3720" i="53"/>
  <c r="G3721" i="53"/>
  <c r="G3722" i="53"/>
  <c r="G3723" i="53"/>
  <c r="G3724" i="53"/>
  <c r="G3725" i="53"/>
  <c r="G3726" i="53"/>
  <c r="G3727" i="53"/>
  <c r="G3728" i="53"/>
  <c r="G3729" i="53"/>
  <c r="G3730" i="53"/>
  <c r="G3731" i="53"/>
  <c r="G3732" i="53"/>
  <c r="G3733" i="53"/>
  <c r="G3734" i="53"/>
  <c r="G3735" i="53"/>
  <c r="G3736" i="53"/>
  <c r="G3737" i="53"/>
  <c r="G3738" i="53"/>
  <c r="G3739" i="53"/>
  <c r="G3740" i="53"/>
  <c r="G3741" i="53"/>
  <c r="G3742" i="53"/>
  <c r="G3743" i="53"/>
  <c r="G3744" i="53"/>
  <c r="G3745" i="53"/>
  <c r="G3746" i="53"/>
  <c r="G3747" i="53"/>
  <c r="G3748" i="53"/>
  <c r="G3749" i="53"/>
  <c r="G3750" i="53"/>
  <c r="G3751" i="53"/>
  <c r="G3752" i="53"/>
  <c r="G3753" i="53"/>
  <c r="G3754" i="53"/>
  <c r="G3755" i="53"/>
  <c r="G3756" i="53"/>
  <c r="G3757" i="53"/>
  <c r="G3758" i="53"/>
  <c r="G3759" i="53"/>
  <c r="G3760" i="53"/>
  <c r="G3761" i="53"/>
  <c r="G3762" i="53"/>
  <c r="G3763" i="53"/>
  <c r="G3764" i="53"/>
  <c r="G3765" i="53"/>
  <c r="G3766" i="53"/>
  <c r="G3767" i="53"/>
  <c r="G3768" i="53"/>
  <c r="G3769" i="53"/>
  <c r="G3770" i="53"/>
  <c r="G3771" i="53"/>
  <c r="G3772" i="53"/>
  <c r="G3773" i="53"/>
  <c r="G3774" i="53"/>
  <c r="G3775" i="53"/>
  <c r="G3776" i="53"/>
  <c r="G3777" i="53"/>
  <c r="G3778" i="53"/>
  <c r="G3779" i="53"/>
  <c r="G3780" i="53"/>
  <c r="G3781" i="53"/>
  <c r="G3782" i="53"/>
  <c r="G3783" i="53"/>
  <c r="G3784" i="53"/>
  <c r="G3785" i="53"/>
  <c r="G3786" i="53"/>
  <c r="G3787" i="53"/>
  <c r="G3788" i="53"/>
  <c r="G3789" i="53"/>
  <c r="G3790" i="53"/>
  <c r="G3791" i="53"/>
  <c r="G3792" i="53"/>
  <c r="G3793" i="53"/>
  <c r="G3794" i="53"/>
  <c r="G3795" i="53"/>
  <c r="G3796" i="53"/>
  <c r="G3797" i="53"/>
  <c r="G3798" i="53"/>
  <c r="G3799" i="53"/>
  <c r="G3800" i="53"/>
  <c r="G3801" i="53"/>
  <c r="G3802" i="53"/>
  <c r="G3803" i="53"/>
  <c r="G3804" i="53"/>
  <c r="G3805" i="53"/>
  <c r="G3806" i="53"/>
  <c r="G3807" i="53"/>
  <c r="G3808" i="53"/>
  <c r="G3809" i="53"/>
  <c r="G3810" i="53"/>
  <c r="G3811" i="53"/>
  <c r="G3812" i="53"/>
  <c r="G3813" i="53"/>
  <c r="G3814" i="53"/>
  <c r="G3815" i="53"/>
  <c r="G3816" i="53"/>
  <c r="G3817" i="53"/>
  <c r="G3818" i="53"/>
  <c r="G3819" i="53"/>
  <c r="G3820" i="53"/>
  <c r="G3821" i="53"/>
  <c r="G3822" i="53"/>
  <c r="G3823" i="53"/>
  <c r="G3824" i="53"/>
  <c r="G3825" i="53"/>
  <c r="G3826" i="53"/>
  <c r="G3827" i="53"/>
  <c r="G3828" i="53"/>
  <c r="G3829" i="53"/>
  <c r="G3830" i="53"/>
  <c r="G3831" i="53"/>
  <c r="G3832" i="53"/>
  <c r="G3833" i="53"/>
  <c r="G3834" i="53"/>
  <c r="G3835" i="53"/>
  <c r="G3836" i="53"/>
  <c r="G3837" i="53"/>
  <c r="G3838" i="53"/>
  <c r="G3839" i="53"/>
  <c r="G3840" i="53"/>
  <c r="G3841" i="53"/>
  <c r="G3842" i="53"/>
  <c r="G3843" i="53"/>
  <c r="G3844" i="53"/>
  <c r="G3845" i="53"/>
  <c r="G3846" i="53"/>
  <c r="G3847" i="53"/>
  <c r="G3848" i="53"/>
  <c r="G3849" i="53"/>
  <c r="G3850" i="53"/>
  <c r="G3851" i="53"/>
  <c r="G3852" i="53"/>
  <c r="G3853" i="53"/>
  <c r="G3854" i="53"/>
  <c r="G3855" i="53"/>
  <c r="G3856" i="53"/>
  <c r="G3857" i="53"/>
  <c r="G3858" i="53"/>
  <c r="G3859" i="53"/>
  <c r="G3860" i="53"/>
  <c r="G3861" i="53"/>
  <c r="G3862" i="53"/>
  <c r="G3863" i="53"/>
  <c r="G3864" i="53"/>
  <c r="G3865" i="53"/>
  <c r="G3866" i="53"/>
  <c r="G3867" i="53"/>
  <c r="G3868" i="53"/>
  <c r="G3869" i="53"/>
  <c r="G3870" i="53"/>
  <c r="G3871" i="53"/>
  <c r="G3872" i="53"/>
  <c r="G3873" i="53"/>
  <c r="G3874" i="53"/>
  <c r="G3875" i="53"/>
  <c r="G3876" i="53"/>
  <c r="G3877" i="53"/>
  <c r="G3878" i="53"/>
  <c r="G3879" i="53"/>
  <c r="G3880" i="53"/>
  <c r="G3881" i="53"/>
  <c r="G3882" i="53"/>
  <c r="G3883" i="53"/>
  <c r="G3884" i="53"/>
  <c r="G3885" i="53"/>
  <c r="G3886" i="53"/>
  <c r="G3887" i="53"/>
  <c r="G3888" i="53"/>
  <c r="G3889" i="53"/>
  <c r="G3890" i="53"/>
  <c r="G3891" i="53"/>
  <c r="G3892" i="53"/>
  <c r="G3893" i="53"/>
  <c r="G3894" i="53"/>
  <c r="G3895" i="53"/>
  <c r="G3896" i="53"/>
  <c r="G3897" i="53"/>
  <c r="G3898" i="53"/>
  <c r="G3899" i="53"/>
  <c r="G3900" i="53"/>
  <c r="G3901" i="53"/>
  <c r="G3902" i="53"/>
  <c r="G3903" i="53"/>
  <c r="G3904" i="53"/>
  <c r="G3905" i="53"/>
  <c r="G3906" i="53"/>
  <c r="G3907" i="53"/>
  <c r="G3908" i="53"/>
  <c r="G3909" i="53"/>
  <c r="G3910" i="53"/>
  <c r="G3911" i="53"/>
  <c r="G3912" i="53"/>
  <c r="G3913" i="53"/>
  <c r="G3914" i="53"/>
  <c r="G3915" i="53"/>
  <c r="G3916" i="53"/>
  <c r="G3917" i="53"/>
  <c r="G3918" i="53"/>
  <c r="G3919" i="53"/>
  <c r="G3920" i="53"/>
  <c r="G3921" i="53"/>
  <c r="G3922" i="53"/>
  <c r="G3923" i="53"/>
  <c r="G3924" i="53"/>
  <c r="G3925" i="53"/>
  <c r="G3926" i="53"/>
  <c r="G3927" i="53"/>
  <c r="G3928" i="53"/>
  <c r="G3929" i="53"/>
  <c r="G3930" i="53"/>
  <c r="G3931" i="53"/>
  <c r="G3932" i="53"/>
  <c r="G3933" i="53"/>
  <c r="G3934" i="53"/>
  <c r="G3935" i="53"/>
  <c r="G3936" i="53"/>
  <c r="G3937" i="53"/>
  <c r="G3938" i="53"/>
  <c r="G3939" i="53"/>
  <c r="G3940" i="53"/>
  <c r="G3941" i="53"/>
  <c r="G3942" i="53"/>
  <c r="G3943" i="53"/>
  <c r="G3944" i="53"/>
  <c r="G3945" i="53"/>
  <c r="G3946" i="53"/>
  <c r="G3947" i="53"/>
  <c r="G3948" i="53"/>
  <c r="G3949" i="53"/>
  <c r="G3950" i="53"/>
  <c r="G3951" i="53"/>
  <c r="G3952" i="53"/>
  <c r="G3953" i="53"/>
  <c r="G3954" i="53"/>
  <c r="G3955" i="53"/>
  <c r="G3956" i="53"/>
  <c r="G3957" i="53"/>
  <c r="G3958" i="53"/>
  <c r="G3959" i="53"/>
  <c r="G3960" i="53"/>
  <c r="G3961" i="53"/>
  <c r="G3962" i="53"/>
  <c r="G3963" i="53"/>
  <c r="G3964" i="53"/>
  <c r="G3965" i="53"/>
  <c r="G3966" i="53"/>
  <c r="G3967" i="53"/>
  <c r="G3968" i="53"/>
  <c r="G3969" i="53"/>
  <c r="G3970" i="53"/>
  <c r="G3971" i="53"/>
  <c r="G3972" i="53"/>
  <c r="G3973" i="53"/>
  <c r="G3974" i="53"/>
  <c r="G3975" i="53"/>
  <c r="G3976" i="53"/>
  <c r="G3977" i="53"/>
  <c r="G3978" i="53"/>
  <c r="G3979" i="53"/>
  <c r="G3980" i="53"/>
  <c r="G3981" i="53"/>
  <c r="G3982" i="53"/>
  <c r="G3983" i="53"/>
  <c r="G3984" i="53"/>
  <c r="G3985" i="53"/>
  <c r="G3986" i="53"/>
  <c r="G3987" i="53"/>
  <c r="G3988" i="53"/>
  <c r="G3989" i="53"/>
  <c r="G3990" i="53"/>
  <c r="G3991" i="53"/>
  <c r="G3992" i="53"/>
  <c r="G3993" i="53"/>
  <c r="G3994" i="53"/>
  <c r="G3995" i="53"/>
  <c r="G3996" i="53"/>
  <c r="G3997" i="53"/>
  <c r="G3998" i="53"/>
  <c r="G3999" i="53"/>
  <c r="G4000" i="53"/>
  <c r="G4001" i="53"/>
  <c r="G4002" i="53"/>
  <c r="G4003" i="53"/>
  <c r="G4004" i="53"/>
  <c r="G4005" i="53"/>
  <c r="G4006" i="53"/>
  <c r="G4007" i="53"/>
  <c r="G4008" i="53"/>
  <c r="G4009" i="53"/>
  <c r="G4010" i="53"/>
  <c r="G4011" i="53"/>
  <c r="G4012" i="53"/>
  <c r="G4013" i="53"/>
  <c r="G4014" i="53"/>
  <c r="G4015" i="53"/>
  <c r="G4016" i="53"/>
  <c r="G4017" i="53"/>
  <c r="G4018" i="53"/>
  <c r="G4019" i="53"/>
  <c r="G4020" i="53"/>
  <c r="G4021" i="53"/>
  <c r="G4022" i="53"/>
  <c r="G4023" i="53"/>
  <c r="G4024" i="53"/>
  <c r="G4025" i="53"/>
  <c r="G4026" i="53"/>
  <c r="G4027" i="53"/>
  <c r="G4028" i="53"/>
  <c r="G4029" i="53"/>
  <c r="G4030" i="53"/>
  <c r="G4031" i="53"/>
  <c r="G4032" i="53"/>
  <c r="G4033" i="53"/>
  <c r="G4034" i="53"/>
  <c r="G4035" i="53"/>
  <c r="G4036" i="53"/>
  <c r="G4037" i="53"/>
  <c r="G4038" i="53"/>
  <c r="G4039" i="53"/>
  <c r="G4040" i="53"/>
  <c r="G4041" i="53"/>
  <c r="G4042" i="53"/>
  <c r="G4043" i="53"/>
  <c r="G4044" i="53"/>
  <c r="G4045" i="53"/>
  <c r="G4046" i="53"/>
  <c r="G4047" i="53"/>
  <c r="G4048" i="53"/>
  <c r="G4049" i="53"/>
  <c r="G4050" i="53"/>
  <c r="G4051" i="53"/>
  <c r="G4052" i="53"/>
  <c r="G4053" i="53"/>
  <c r="G4054" i="53"/>
  <c r="G4055" i="53"/>
  <c r="G4056" i="53"/>
  <c r="G4057" i="53"/>
  <c r="G4058" i="53"/>
  <c r="G4059" i="53"/>
  <c r="G4060" i="53"/>
  <c r="G4061" i="53"/>
  <c r="G4062" i="53"/>
  <c r="G4063" i="53"/>
  <c r="G4064" i="53"/>
  <c r="G4065" i="53"/>
  <c r="G4066" i="53"/>
  <c r="G4067" i="53"/>
  <c r="G4068" i="53"/>
  <c r="G4069" i="53"/>
  <c r="G4070" i="53"/>
  <c r="G4071" i="53"/>
  <c r="G4072" i="53"/>
  <c r="G4073" i="53"/>
  <c r="G4074" i="53"/>
  <c r="G4075" i="53"/>
  <c r="G4076" i="53"/>
  <c r="G4077" i="53"/>
  <c r="G4078" i="53"/>
  <c r="G4079" i="53"/>
  <c r="G4080" i="53"/>
  <c r="G4081" i="53"/>
  <c r="G4082" i="53"/>
  <c r="G4083" i="53"/>
  <c r="G4084" i="53"/>
  <c r="G4085" i="53"/>
  <c r="G4086" i="53"/>
  <c r="G4087" i="53"/>
  <c r="G4088" i="53"/>
  <c r="G4089" i="53"/>
  <c r="G4090" i="53"/>
  <c r="G4091" i="53"/>
  <c r="G4092" i="53"/>
  <c r="G4093" i="53"/>
  <c r="G4094" i="53"/>
  <c r="G4095" i="53"/>
  <c r="G4096" i="53"/>
  <c r="G4097" i="53"/>
  <c r="G4098" i="53"/>
  <c r="G4099" i="53"/>
  <c r="G4100" i="53"/>
  <c r="G4101" i="53"/>
  <c r="G4102" i="53"/>
  <c r="G4103" i="53"/>
  <c r="G4104" i="53"/>
  <c r="G4105" i="53"/>
  <c r="G4106" i="53"/>
  <c r="G4107" i="53"/>
  <c r="G4108" i="53"/>
  <c r="G4109" i="53"/>
  <c r="G4110" i="53"/>
  <c r="G4111" i="53"/>
  <c r="G4112" i="53"/>
  <c r="G4113" i="53"/>
  <c r="G4114" i="53"/>
  <c r="G4115" i="53"/>
  <c r="G4116" i="53"/>
  <c r="G4117" i="53"/>
  <c r="G4118" i="53"/>
  <c r="G4119" i="53"/>
  <c r="G4120" i="53"/>
  <c r="G4121" i="53"/>
  <c r="G4122" i="53"/>
  <c r="G4123" i="53"/>
  <c r="G4124" i="53"/>
  <c r="G4125" i="53"/>
  <c r="G4126" i="53"/>
  <c r="G4127" i="53"/>
  <c r="G4128" i="53"/>
  <c r="G4129" i="53"/>
  <c r="G4130" i="53"/>
  <c r="G4131" i="53"/>
  <c r="G4132" i="53"/>
  <c r="G4133" i="53"/>
  <c r="G4134" i="53"/>
  <c r="G4135" i="53"/>
  <c r="G4136" i="53"/>
  <c r="G4137" i="53"/>
  <c r="G4138" i="53"/>
  <c r="G4139" i="53"/>
  <c r="G4140" i="53"/>
  <c r="G4141" i="53"/>
  <c r="G4142" i="53"/>
  <c r="G4143" i="53"/>
  <c r="G4144" i="53"/>
  <c r="G4145" i="53"/>
  <c r="G4146" i="53"/>
  <c r="G4147" i="53"/>
  <c r="G4148" i="53"/>
  <c r="G4149" i="53"/>
  <c r="G4150" i="53"/>
  <c r="G4151" i="53"/>
  <c r="G4152" i="53"/>
  <c r="G4153" i="53"/>
  <c r="G4154" i="53"/>
  <c r="G4155" i="53"/>
  <c r="G4156" i="53"/>
  <c r="G4157" i="53"/>
  <c r="G4158" i="53"/>
  <c r="G4159" i="53"/>
  <c r="G4160" i="53"/>
  <c r="G4161" i="53"/>
  <c r="G4162" i="53"/>
  <c r="G4163" i="53"/>
  <c r="G4164" i="53"/>
  <c r="G4165" i="53"/>
  <c r="G4166" i="53"/>
  <c r="G4167" i="53"/>
  <c r="G4168" i="53"/>
  <c r="G4169" i="53"/>
  <c r="G4170" i="53"/>
  <c r="G4171" i="53"/>
  <c r="G4172" i="53"/>
  <c r="G4173" i="53"/>
  <c r="G4174" i="53"/>
  <c r="G4175" i="53"/>
  <c r="G4176" i="53"/>
  <c r="G4177" i="53"/>
  <c r="G4178" i="53"/>
  <c r="G4179" i="53"/>
  <c r="G4180" i="53"/>
  <c r="G4181" i="53"/>
  <c r="G4182" i="53"/>
  <c r="G4183" i="53"/>
  <c r="G4184" i="53"/>
  <c r="G4185" i="53"/>
  <c r="G4186" i="53"/>
  <c r="G4187" i="53"/>
  <c r="G4188" i="53"/>
  <c r="G4189" i="53"/>
  <c r="G4190" i="53"/>
  <c r="G4191" i="53"/>
  <c r="G4192" i="53"/>
  <c r="G4193" i="53"/>
  <c r="G4194" i="53"/>
  <c r="G4195" i="53"/>
  <c r="G4196" i="53"/>
  <c r="G4197" i="53"/>
  <c r="G4198" i="53"/>
  <c r="G4199" i="53"/>
  <c r="G4200" i="53"/>
  <c r="G4201" i="53"/>
  <c r="G4202" i="53"/>
  <c r="G4203" i="53"/>
  <c r="G4204" i="53"/>
  <c r="G4205" i="53"/>
  <c r="G4206" i="53"/>
  <c r="G4207" i="53"/>
  <c r="G4208" i="53"/>
  <c r="G4209" i="53"/>
  <c r="G4210" i="53"/>
  <c r="G4211" i="53"/>
  <c r="G4212" i="53"/>
  <c r="G4213" i="53"/>
  <c r="G4214" i="53"/>
  <c r="G4215" i="53"/>
  <c r="G4216" i="53"/>
  <c r="G4217" i="53"/>
  <c r="G4218" i="53"/>
  <c r="G4219" i="53"/>
  <c r="G4220" i="53"/>
  <c r="G4221" i="53"/>
  <c r="G4222" i="53"/>
  <c r="G4223" i="53"/>
  <c r="G4224" i="53"/>
  <c r="G4225" i="53"/>
  <c r="G4226" i="53"/>
  <c r="G4227" i="53"/>
  <c r="G4228" i="53"/>
  <c r="G4229" i="53"/>
  <c r="G4230" i="53"/>
  <c r="G4231" i="53"/>
  <c r="G4232" i="53"/>
  <c r="G4233" i="53"/>
  <c r="G4234" i="53"/>
  <c r="G4235" i="53"/>
  <c r="G4236" i="53"/>
  <c r="G4237" i="53"/>
  <c r="G4238" i="53"/>
  <c r="G4239" i="53"/>
  <c r="G4240" i="53"/>
  <c r="G4241" i="53"/>
  <c r="G4242" i="53"/>
  <c r="G4243" i="53"/>
  <c r="G4244" i="53"/>
  <c r="G4245" i="53"/>
  <c r="G4246" i="53"/>
  <c r="G4247" i="53"/>
  <c r="G4248" i="53"/>
  <c r="G4249" i="53"/>
  <c r="G4250" i="53"/>
  <c r="G4251" i="53"/>
  <c r="G4252" i="53"/>
  <c r="G4253" i="53"/>
  <c r="G4254" i="53"/>
  <c r="G4255" i="53"/>
  <c r="G4256" i="53"/>
  <c r="G4257" i="53"/>
  <c r="G4258" i="53"/>
  <c r="G4259" i="53"/>
  <c r="G4260" i="53"/>
  <c r="G4261" i="53"/>
  <c r="G4262" i="53"/>
  <c r="G4263" i="53"/>
  <c r="G4264" i="53"/>
  <c r="G4265" i="53"/>
  <c r="G4266" i="53"/>
  <c r="G4267" i="53"/>
  <c r="G4268" i="53"/>
  <c r="G4269" i="53"/>
  <c r="G4270" i="53"/>
  <c r="G4271" i="53"/>
  <c r="G4272" i="53"/>
  <c r="G4273" i="53"/>
  <c r="G4274" i="53"/>
  <c r="G4275" i="53"/>
  <c r="G4276" i="53"/>
  <c r="G4277" i="53"/>
  <c r="G4278" i="53"/>
  <c r="G4279" i="53"/>
  <c r="G4280" i="53"/>
  <c r="G4281" i="53"/>
  <c r="G4282" i="53"/>
  <c r="G4283" i="53"/>
  <c r="G4284" i="53"/>
  <c r="G4285" i="53"/>
  <c r="G4286" i="53"/>
  <c r="G4287" i="53"/>
  <c r="G4288" i="53"/>
  <c r="G4289" i="53"/>
  <c r="G4290" i="53"/>
  <c r="G4291" i="53"/>
  <c r="G4292" i="53"/>
  <c r="G4293" i="53"/>
  <c r="G4294" i="53"/>
  <c r="G4295" i="53"/>
  <c r="G4296" i="53"/>
  <c r="G4297" i="53"/>
  <c r="G4298" i="53"/>
  <c r="G4299" i="53"/>
  <c r="G4300" i="53"/>
  <c r="G4301" i="53"/>
  <c r="G4302" i="53"/>
  <c r="G4303" i="53"/>
  <c r="G4304" i="53"/>
  <c r="G4305" i="53"/>
  <c r="G4306" i="53"/>
  <c r="G4307" i="53"/>
  <c r="G4308" i="53"/>
  <c r="G4309" i="53"/>
  <c r="G4310" i="53"/>
  <c r="G4311" i="53"/>
  <c r="G4312" i="53"/>
  <c r="G4313" i="53"/>
  <c r="G4314" i="53"/>
  <c r="G4315" i="53"/>
  <c r="G4316" i="53"/>
  <c r="G4317" i="53"/>
  <c r="G4318" i="53"/>
  <c r="G4319" i="53"/>
  <c r="G4320" i="53"/>
  <c r="G4321" i="53"/>
  <c r="G4322" i="53"/>
  <c r="G4323" i="53"/>
  <c r="G4324" i="53"/>
  <c r="G4325" i="53"/>
  <c r="G4326" i="53"/>
  <c r="G4327" i="53"/>
  <c r="G4328" i="53"/>
  <c r="G4329" i="53"/>
  <c r="G4330" i="53"/>
  <c r="G4331" i="53"/>
  <c r="G4332" i="53"/>
  <c r="G4333" i="53"/>
  <c r="G4334" i="53"/>
  <c r="G4335" i="53"/>
  <c r="G4336" i="53"/>
  <c r="G4337" i="53"/>
  <c r="G4338" i="53"/>
  <c r="G4339" i="53"/>
  <c r="G4340" i="53"/>
  <c r="G4341" i="53"/>
  <c r="G4342" i="53"/>
  <c r="G4343" i="53"/>
  <c r="G4344" i="53"/>
  <c r="G4345" i="53"/>
  <c r="G4346" i="53"/>
  <c r="G4347" i="53"/>
  <c r="G4348" i="53"/>
  <c r="G4349" i="53"/>
  <c r="G4350" i="53"/>
  <c r="G4351" i="53"/>
  <c r="G4352" i="53"/>
  <c r="G4353" i="53"/>
  <c r="G4354" i="53"/>
  <c r="G4355" i="53"/>
  <c r="G4356" i="53"/>
  <c r="G4357" i="53"/>
  <c r="G4358" i="53"/>
  <c r="G4359" i="53"/>
  <c r="G4360" i="53"/>
  <c r="G4361" i="53"/>
  <c r="G4362" i="53"/>
  <c r="G4363" i="53"/>
  <c r="G4364" i="53"/>
  <c r="G4365" i="53"/>
  <c r="G4366" i="53"/>
  <c r="G4367" i="53"/>
  <c r="G4368" i="53"/>
  <c r="G4369" i="53"/>
  <c r="G4370" i="53"/>
  <c r="G4371" i="53"/>
  <c r="G4372" i="53"/>
  <c r="G4373" i="53"/>
  <c r="G4374" i="53"/>
  <c r="G4375" i="53"/>
  <c r="G4376" i="53"/>
  <c r="G4377" i="53"/>
  <c r="G4378" i="53"/>
  <c r="G4379" i="53"/>
  <c r="G4380" i="53"/>
  <c r="G4381" i="53"/>
  <c r="G4382" i="53"/>
  <c r="G4383" i="53"/>
  <c r="G4384" i="53"/>
  <c r="G4385" i="53"/>
  <c r="G4386" i="53"/>
  <c r="G4387" i="53"/>
  <c r="G4388" i="53"/>
  <c r="G4389" i="53"/>
  <c r="G4390" i="53"/>
  <c r="G4391" i="53"/>
  <c r="G4392" i="53"/>
  <c r="G4393" i="53"/>
  <c r="G4394" i="53"/>
  <c r="G4395" i="53"/>
  <c r="G4396" i="53"/>
  <c r="G4397" i="53"/>
  <c r="G4398" i="53"/>
  <c r="G4399" i="53"/>
  <c r="G4400" i="53"/>
  <c r="G4401" i="53"/>
  <c r="G4402" i="53"/>
  <c r="G4403" i="53"/>
  <c r="G4404" i="53"/>
  <c r="G4405" i="53"/>
  <c r="G4406" i="53"/>
  <c r="G4407" i="53"/>
  <c r="G4408" i="53"/>
  <c r="G4409" i="53"/>
  <c r="G4410" i="53"/>
  <c r="G4411" i="53"/>
  <c r="G4412" i="53"/>
  <c r="G4413" i="53"/>
  <c r="G4414" i="53"/>
  <c r="G4415" i="53"/>
  <c r="G4416" i="53"/>
  <c r="G4417" i="53"/>
  <c r="G4418" i="53"/>
  <c r="G4419" i="53"/>
  <c r="G4420" i="53"/>
  <c r="G4421" i="53"/>
  <c r="G4422" i="53"/>
  <c r="G4423" i="53"/>
  <c r="G4424" i="53"/>
  <c r="G4425" i="53"/>
  <c r="G4426" i="53"/>
  <c r="G4427" i="53"/>
  <c r="G4428" i="53"/>
  <c r="G4429" i="53"/>
  <c r="G4430" i="53"/>
  <c r="G4431" i="53"/>
  <c r="G4432" i="53"/>
  <c r="G4433" i="53"/>
  <c r="G4434" i="53"/>
  <c r="G4435" i="53"/>
  <c r="G4436" i="53"/>
  <c r="G4437" i="53"/>
  <c r="G4438" i="53"/>
  <c r="G4439" i="53"/>
  <c r="G4440" i="53"/>
  <c r="G4441" i="53"/>
  <c r="G4442" i="53"/>
  <c r="G4443" i="53"/>
  <c r="G4444" i="53"/>
  <c r="G4445" i="53"/>
  <c r="G4446" i="53"/>
  <c r="G4447" i="53"/>
  <c r="G4448" i="53"/>
  <c r="G4449" i="53"/>
  <c r="G4450" i="53"/>
  <c r="G4451" i="53"/>
  <c r="G4452" i="53"/>
  <c r="G4453" i="53"/>
  <c r="G4454" i="53"/>
  <c r="G4455" i="53"/>
  <c r="G4456" i="53"/>
  <c r="G4457" i="53"/>
  <c r="G4458" i="53"/>
  <c r="G4459" i="53"/>
  <c r="G4460" i="53"/>
  <c r="G4461" i="53"/>
  <c r="G4462" i="53"/>
  <c r="G4463" i="53"/>
  <c r="G4464" i="53"/>
  <c r="G4465" i="53"/>
  <c r="G4466" i="53"/>
  <c r="G4467" i="53"/>
  <c r="G4468" i="53"/>
  <c r="G4469" i="53"/>
  <c r="G4470" i="53"/>
  <c r="G4471" i="53"/>
  <c r="G4472" i="53"/>
  <c r="G4473" i="53"/>
  <c r="G4474" i="53"/>
  <c r="G4475" i="53"/>
  <c r="G4476" i="53"/>
  <c r="G4477" i="53"/>
  <c r="G4478" i="53"/>
  <c r="G4479" i="53"/>
  <c r="G4480" i="53"/>
  <c r="G4481" i="53"/>
  <c r="G4482" i="53"/>
  <c r="G4483" i="53"/>
  <c r="G4484" i="53"/>
  <c r="G4485" i="53"/>
  <c r="G4486" i="53"/>
  <c r="G4487" i="53"/>
  <c r="G4488" i="53"/>
  <c r="G4489" i="53"/>
  <c r="G4490" i="53"/>
  <c r="G4491" i="53"/>
  <c r="G4492" i="53"/>
  <c r="G4493" i="53"/>
  <c r="G4494" i="53"/>
  <c r="G4495" i="53"/>
  <c r="G4496" i="53"/>
  <c r="G4497" i="53"/>
  <c r="G4498" i="53"/>
  <c r="G4499" i="53"/>
  <c r="G4500" i="53"/>
  <c r="G4501" i="53"/>
  <c r="G4502" i="53"/>
  <c r="G4503" i="53"/>
  <c r="G4504" i="53"/>
  <c r="G4505" i="53"/>
  <c r="G4506" i="53"/>
  <c r="G4507" i="53"/>
  <c r="G4508" i="53"/>
  <c r="G4509" i="53"/>
  <c r="G4510" i="53"/>
  <c r="G4511" i="53"/>
  <c r="G4512" i="53"/>
  <c r="G4513" i="53"/>
  <c r="G4514" i="53"/>
  <c r="G4515" i="53"/>
  <c r="G4516" i="53"/>
  <c r="G4517" i="53"/>
  <c r="G4518" i="53"/>
  <c r="G4519" i="53"/>
  <c r="G4520" i="53"/>
  <c r="G4521" i="53"/>
  <c r="G4522" i="53"/>
  <c r="G4523" i="53"/>
  <c r="G4524" i="53"/>
  <c r="G4525" i="53"/>
  <c r="G4526" i="53"/>
  <c r="G4527" i="53"/>
  <c r="G4528" i="53"/>
  <c r="G4529" i="53"/>
  <c r="G4530" i="53"/>
  <c r="G4531" i="53"/>
  <c r="G4532" i="53"/>
  <c r="G4533" i="53"/>
  <c r="G4534" i="53"/>
  <c r="G4535" i="53"/>
  <c r="G4536" i="53"/>
  <c r="G4537" i="53"/>
  <c r="G4538" i="53"/>
  <c r="G4539" i="53"/>
  <c r="G4540" i="53"/>
  <c r="G4541" i="53"/>
  <c r="G4542" i="53"/>
  <c r="G4543" i="53"/>
  <c r="G4544" i="53"/>
  <c r="G4545" i="53"/>
  <c r="G4546" i="53"/>
  <c r="G4547" i="53"/>
  <c r="G4548" i="53"/>
  <c r="G4549" i="53"/>
  <c r="G4550" i="53"/>
  <c r="G4551" i="53"/>
  <c r="G4552" i="53"/>
  <c r="G4553" i="53"/>
  <c r="G4554" i="53"/>
  <c r="G4555" i="53"/>
  <c r="G4556" i="53"/>
  <c r="G4557" i="53"/>
  <c r="G4558" i="53"/>
  <c r="G4559" i="53"/>
  <c r="G4560" i="53"/>
  <c r="G4561" i="53"/>
  <c r="G4562" i="53"/>
  <c r="G4563" i="53"/>
  <c r="G4564" i="53"/>
  <c r="G4565" i="53"/>
  <c r="G4566" i="53"/>
  <c r="G4567" i="53"/>
  <c r="G4568" i="53"/>
  <c r="G4569" i="53"/>
  <c r="G4570" i="53"/>
  <c r="G4571" i="53"/>
  <c r="G4572" i="53"/>
  <c r="G4573" i="53"/>
  <c r="G4574" i="53"/>
  <c r="G4575" i="53"/>
  <c r="G4576" i="53"/>
  <c r="G4577" i="53"/>
  <c r="G4578" i="53"/>
  <c r="G4579" i="53"/>
  <c r="G4580" i="53"/>
  <c r="G4581" i="53"/>
  <c r="G4582" i="53"/>
  <c r="G4583" i="53"/>
  <c r="G4584" i="53"/>
  <c r="G4585" i="53"/>
  <c r="G4586" i="53"/>
  <c r="G4587" i="53"/>
  <c r="G4588" i="53"/>
  <c r="G4589" i="53"/>
  <c r="G4590" i="53"/>
  <c r="G4591" i="53"/>
  <c r="G4592" i="53"/>
  <c r="G4593" i="53"/>
  <c r="G4594" i="53"/>
  <c r="G4595" i="53"/>
  <c r="G4596" i="53"/>
  <c r="G4597" i="53"/>
  <c r="G4598" i="53"/>
  <c r="G4599" i="53"/>
  <c r="G4600" i="53"/>
  <c r="G4601" i="53"/>
  <c r="G4602" i="53"/>
  <c r="G4603" i="53"/>
  <c r="G4604" i="53"/>
  <c r="G4605" i="53"/>
  <c r="G4606" i="53"/>
  <c r="G4607" i="53"/>
  <c r="G4608" i="53"/>
  <c r="G4609" i="53"/>
  <c r="G4610" i="53"/>
  <c r="G4611" i="53"/>
  <c r="G4612" i="53"/>
  <c r="G4613" i="53"/>
  <c r="G4614" i="53"/>
  <c r="G4615" i="53"/>
  <c r="G4616" i="53"/>
  <c r="G4617" i="53"/>
  <c r="G4618" i="53"/>
  <c r="G4619" i="53"/>
  <c r="G4620" i="53"/>
  <c r="G4621" i="53"/>
  <c r="G4622" i="53"/>
  <c r="G4623" i="53"/>
  <c r="G4624" i="53"/>
  <c r="G4625" i="53"/>
  <c r="G4626" i="53"/>
  <c r="G14" i="61" l="1"/>
  <c r="G20" i="61" s="1"/>
  <c r="G15" i="61"/>
  <c r="G10" i="61"/>
  <c r="G16" i="61" s="1"/>
  <c r="G12" i="61"/>
  <c r="G18" i="61" s="1"/>
  <c r="G11" i="61"/>
  <c r="G17" i="61" s="1"/>
  <c r="G13" i="61"/>
  <c r="G19" i="61" s="1"/>
  <c r="H37" i="30"/>
  <c r="H34" i="30"/>
  <c r="H36" i="30"/>
  <c r="H33" i="30"/>
  <c r="H35" i="30"/>
  <c r="N24" i="54"/>
  <c r="H9" i="61"/>
  <c r="M26" i="54"/>
  <c r="B16" i="63"/>
  <c r="B15" i="63"/>
  <c r="B14" i="63"/>
  <c r="B13" i="63"/>
  <c r="H14" i="61" l="1"/>
  <c r="H20" i="61" s="1"/>
  <c r="H15" i="61"/>
  <c r="H10" i="61"/>
  <c r="H16" i="61" s="1"/>
  <c r="H12" i="61"/>
  <c r="H18" i="61" s="1"/>
  <c r="H11" i="61"/>
  <c r="H17" i="61" s="1"/>
  <c r="H13" i="61"/>
  <c r="H19" i="61" s="1"/>
  <c r="I9" i="61"/>
  <c r="N26" i="54"/>
  <c r="B29" i="63"/>
  <c r="B3" i="63"/>
  <c r="C3" i="63"/>
  <c r="D3" i="63"/>
  <c r="E3" i="63"/>
  <c r="F3" i="63"/>
  <c r="B4" i="63"/>
  <c r="C4" i="63"/>
  <c r="D4" i="63"/>
  <c r="E4" i="63"/>
  <c r="F4" i="63"/>
  <c r="B5" i="63"/>
  <c r="B6" i="63"/>
  <c r="B7" i="63"/>
  <c r="B8" i="63"/>
  <c r="B9" i="63"/>
  <c r="B10" i="63"/>
  <c r="B11" i="63"/>
  <c r="B12" i="63"/>
  <c r="B17" i="63"/>
  <c r="B18" i="63"/>
  <c r="B19" i="63"/>
  <c r="B20" i="63"/>
  <c r="B21" i="63"/>
  <c r="B22" i="63"/>
  <c r="C22" i="63"/>
  <c r="B23" i="63"/>
  <c r="B24" i="63"/>
  <c r="B25" i="63"/>
  <c r="B26" i="63"/>
  <c r="B31" i="63"/>
  <c r="E45" i="61"/>
  <c r="F45" i="61"/>
  <c r="G45" i="61"/>
  <c r="H45" i="61"/>
  <c r="I45" i="61"/>
  <c r="E46" i="61"/>
  <c r="F46" i="61"/>
  <c r="G46" i="61"/>
  <c r="H46" i="61"/>
  <c r="I46" i="61"/>
  <c r="E47" i="61"/>
  <c r="F47" i="61"/>
  <c r="G47" i="61"/>
  <c r="H47" i="61"/>
  <c r="I47" i="61"/>
  <c r="E48" i="61"/>
  <c r="F48" i="61"/>
  <c r="G48" i="61"/>
  <c r="H48" i="61"/>
  <c r="I48" i="61"/>
  <c r="E63" i="61"/>
  <c r="F63" i="61"/>
  <c r="G63" i="61"/>
  <c r="H63" i="61"/>
  <c r="I63" i="61"/>
  <c r="E64" i="61"/>
  <c r="F64" i="61"/>
  <c r="G64" i="61"/>
  <c r="H64" i="61"/>
  <c r="I64" i="61"/>
  <c r="E65" i="61"/>
  <c r="F65" i="61"/>
  <c r="G65" i="61"/>
  <c r="H65" i="61"/>
  <c r="I65" i="61"/>
  <c r="E66" i="61"/>
  <c r="F66" i="61"/>
  <c r="G66" i="61"/>
  <c r="H66" i="61"/>
  <c r="I66" i="61"/>
  <c r="I31" i="54"/>
  <c r="H31" i="54"/>
  <c r="G31" i="54"/>
  <c r="F31" i="54"/>
  <c r="E31" i="54"/>
  <c r="D31" i="54"/>
  <c r="I30" i="54"/>
  <c r="H30" i="54"/>
  <c r="G30" i="54"/>
  <c r="F30" i="54"/>
  <c r="E30" i="54"/>
  <c r="D30" i="54"/>
  <c r="I26" i="54"/>
  <c r="I44" i="30" s="1"/>
  <c r="H26" i="54"/>
  <c r="H44" i="30" s="1"/>
  <c r="G17" i="54"/>
  <c r="F17" i="54"/>
  <c r="E17" i="54"/>
  <c r="D17" i="54"/>
  <c r="I9" i="54"/>
  <c r="J9" i="54" s="1"/>
  <c r="H9" i="54"/>
  <c r="G9" i="54"/>
  <c r="F9" i="54"/>
  <c r="E9" i="54"/>
  <c r="D9" i="54"/>
  <c r="I48" i="30" l="1"/>
  <c r="I46" i="30"/>
  <c r="I49" i="30"/>
  <c r="I47" i="30"/>
  <c r="I45" i="30"/>
  <c r="I15" i="61"/>
  <c r="I14" i="61"/>
  <c r="I20" i="61" s="1"/>
  <c r="I10" i="61"/>
  <c r="I16" i="61" s="1"/>
  <c r="I11" i="61"/>
  <c r="I17" i="61" s="1"/>
  <c r="I13" i="61"/>
  <c r="I19" i="61" s="1"/>
  <c r="I12" i="61"/>
  <c r="I18" i="61" s="1"/>
  <c r="H45" i="30"/>
  <c r="H46" i="30"/>
  <c r="H49" i="30"/>
  <c r="H48" i="30"/>
  <c r="H47" i="30"/>
  <c r="J30" i="54"/>
  <c r="J16" i="54" s="1"/>
  <c r="J19" i="54" s="1"/>
  <c r="J10" i="54"/>
  <c r="J31" i="54"/>
  <c r="K31" i="54" s="1"/>
  <c r="L31" i="54" s="1"/>
  <c r="M31" i="54" s="1"/>
  <c r="N31" i="54" s="1"/>
  <c r="K17" i="54" l="1"/>
  <c r="J18" i="54"/>
  <c r="K9" i="54"/>
  <c r="K30" i="54"/>
  <c r="J25" i="54" l="1"/>
  <c r="L17" i="54"/>
  <c r="L9" i="54"/>
  <c r="L30" i="54"/>
  <c r="J35" i="54" l="1"/>
  <c r="F48" i="28" s="1"/>
  <c r="F49" i="28"/>
  <c r="E21" i="61"/>
  <c r="E26" i="61" s="1"/>
  <c r="E27" i="61"/>
  <c r="E32" i="61" s="1"/>
  <c r="M17" i="54"/>
  <c r="M9" i="54"/>
  <c r="M30" i="54"/>
  <c r="E23" i="61" l="1"/>
  <c r="E24" i="61"/>
  <c r="E22" i="61"/>
  <c r="J37" i="54"/>
  <c r="E25" i="61"/>
  <c r="E29" i="61"/>
  <c r="E30" i="61"/>
  <c r="E28" i="61"/>
  <c r="N17" i="54"/>
  <c r="E31" i="61"/>
  <c r="N9" i="54"/>
  <c r="N30" i="54"/>
  <c r="L17" i="35" l="1"/>
  <c r="Q17" i="35"/>
  <c r="P17" i="35"/>
  <c r="O17" i="35"/>
  <c r="N17" i="35"/>
  <c r="M17" i="35"/>
  <c r="U28" i="35"/>
  <c r="E32" i="44"/>
  <c r="G31" i="44"/>
  <c r="F31" i="44"/>
  <c r="E31" i="44"/>
  <c r="V28" i="35"/>
  <c r="T28" i="35"/>
  <c r="S28" i="35"/>
  <c r="R28" i="35"/>
  <c r="N29" i="60"/>
  <c r="P29" i="60" s="1"/>
  <c r="AF23" i="60"/>
  <c r="AF25" i="60"/>
  <c r="AF26" i="60"/>
  <c r="AG26" i="60" s="1"/>
  <c r="AH26" i="60" s="1"/>
  <c r="AI26" i="60" s="1"/>
  <c r="AJ26" i="60" s="1"/>
  <c r="AK26" i="60" s="1"/>
  <c r="AG12" i="60"/>
  <c r="AF24" i="60" s="1"/>
  <c r="AJ18" i="60"/>
  <c r="M18" i="35" l="1"/>
  <c r="M19" i="35" s="1"/>
  <c r="N18" i="35"/>
  <c r="N19" i="35" s="1"/>
  <c r="O18" i="35"/>
  <c r="O19" i="35" s="1"/>
  <c r="P18" i="35"/>
  <c r="P19" i="35" s="1"/>
  <c r="Q18" i="35"/>
  <c r="N30" i="35"/>
  <c r="P30" i="35"/>
  <c r="M30" i="35"/>
  <c r="O30" i="35"/>
  <c r="P12" i="35"/>
  <c r="O12" i="35"/>
  <c r="N12" i="35"/>
  <c r="M12" i="35"/>
  <c r="AF27" i="60"/>
  <c r="AG14" i="60"/>
  <c r="R22" i="35" l="1"/>
  <c r="AF22" i="60"/>
  <c r="Q30" i="35"/>
  <c r="Q12" i="35"/>
  <c r="Q19" i="35"/>
  <c r="U13" i="23"/>
  <c r="U12" i="23"/>
  <c r="U11" i="23"/>
  <c r="U10" i="23"/>
  <c r="T9" i="23"/>
  <c r="T8" i="23" s="1"/>
  <c r="U8" i="23" s="1"/>
  <c r="S9" i="23"/>
  <c r="R9" i="23"/>
  <c r="Q9" i="23"/>
  <c r="P9" i="23"/>
  <c r="O9" i="23"/>
  <c r="S22" i="35" l="1"/>
  <c r="U9" i="23"/>
  <c r="T22" i="35" l="1"/>
  <c r="U22" i="35" l="1"/>
  <c r="V22" i="35" l="1"/>
  <c r="Z9" i="35"/>
  <c r="Z13" i="35"/>
  <c r="AA14" i="35"/>
  <c r="AB14" i="35" s="1"/>
  <c r="H49" i="28"/>
  <c r="H48" i="28"/>
  <c r="H45" i="28" l="1"/>
  <c r="AC14" i="35"/>
  <c r="AD14" i="35" l="1"/>
  <c r="C4" i="53"/>
  <c r="C5" i="53"/>
  <c r="C6" i="53"/>
  <c r="C7" i="53"/>
  <c r="C8" i="53"/>
  <c r="C9" i="53"/>
  <c r="C10" i="53"/>
  <c r="C11" i="53"/>
  <c r="C12" i="53"/>
  <c r="C13" i="53"/>
  <c r="C14" i="53"/>
  <c r="C15" i="53"/>
  <c r="C16" i="53"/>
  <c r="C17" i="53"/>
  <c r="C18" i="53"/>
  <c r="C19" i="53"/>
  <c r="C20" i="53"/>
  <c r="C21" i="53"/>
  <c r="C22" i="53"/>
  <c r="C23" i="53"/>
  <c r="C24" i="53"/>
  <c r="C25" i="53"/>
  <c r="C26" i="53"/>
  <c r="C27" i="53"/>
  <c r="C28" i="53"/>
  <c r="C29" i="53"/>
  <c r="C30" i="53"/>
  <c r="C31" i="53"/>
  <c r="C32" i="53"/>
  <c r="C33" i="53"/>
  <c r="C34" i="53"/>
  <c r="C35" i="53"/>
  <c r="C36" i="53"/>
  <c r="C37" i="53"/>
  <c r="C38" i="53"/>
  <c r="C39" i="53"/>
  <c r="C40" i="53"/>
  <c r="C41" i="53"/>
  <c r="C42" i="53"/>
  <c r="C43" i="53"/>
  <c r="C44" i="53"/>
  <c r="C45" i="53"/>
  <c r="C46" i="53"/>
  <c r="C47" i="53"/>
  <c r="C48" i="53"/>
  <c r="C49" i="53"/>
  <c r="C50" i="53"/>
  <c r="C51" i="53"/>
  <c r="C52" i="53"/>
  <c r="C53" i="53"/>
  <c r="C54" i="53"/>
  <c r="C55" i="53"/>
  <c r="C56" i="53"/>
  <c r="C57" i="53"/>
  <c r="C58" i="53"/>
  <c r="C59" i="53"/>
  <c r="C60" i="53"/>
  <c r="C61" i="53"/>
  <c r="C62" i="53"/>
  <c r="C63" i="53"/>
  <c r="C64" i="53"/>
  <c r="C65" i="53"/>
  <c r="C66" i="53"/>
  <c r="C67" i="53"/>
  <c r="C68" i="53"/>
  <c r="C69" i="53"/>
  <c r="C70" i="53"/>
  <c r="C71" i="53"/>
  <c r="C72" i="53"/>
  <c r="C73" i="53"/>
  <c r="C74" i="53"/>
  <c r="C75" i="53"/>
  <c r="C76" i="53"/>
  <c r="C77" i="53"/>
  <c r="C78" i="53"/>
  <c r="C79" i="53"/>
  <c r="C80" i="53"/>
  <c r="C81" i="53"/>
  <c r="C82" i="53"/>
  <c r="C83" i="53"/>
  <c r="C84" i="53"/>
  <c r="C85" i="53"/>
  <c r="C86" i="53"/>
  <c r="C87" i="53"/>
  <c r="C88" i="53"/>
  <c r="C89" i="53"/>
  <c r="C90" i="53"/>
  <c r="C91" i="53"/>
  <c r="C92" i="53"/>
  <c r="C93" i="53"/>
  <c r="C94" i="53"/>
  <c r="C95" i="53"/>
  <c r="C96" i="53"/>
  <c r="C97" i="53"/>
  <c r="C98" i="53"/>
  <c r="C99" i="53"/>
  <c r="C100" i="53"/>
  <c r="C101" i="53"/>
  <c r="C102" i="53"/>
  <c r="C103" i="53"/>
  <c r="C104" i="53"/>
  <c r="C105" i="53"/>
  <c r="C106" i="53"/>
  <c r="C107" i="53"/>
  <c r="C108" i="53"/>
  <c r="C109" i="53"/>
  <c r="C110" i="53"/>
  <c r="C111" i="53"/>
  <c r="C112" i="53"/>
  <c r="C113" i="53"/>
  <c r="C114" i="53"/>
  <c r="C115" i="53"/>
  <c r="C116" i="53"/>
  <c r="C117" i="53"/>
  <c r="C118" i="53"/>
  <c r="C119" i="53"/>
  <c r="C120" i="53"/>
  <c r="C121" i="53"/>
  <c r="C122" i="53"/>
  <c r="C123" i="53"/>
  <c r="C124" i="53"/>
  <c r="C125" i="53"/>
  <c r="C126" i="53"/>
  <c r="C127" i="53"/>
  <c r="C128" i="53"/>
  <c r="C129" i="53"/>
  <c r="C130" i="53"/>
  <c r="C131" i="53"/>
  <c r="C132" i="53"/>
  <c r="C133" i="53"/>
  <c r="C134" i="53"/>
  <c r="C135" i="53"/>
  <c r="C136" i="53"/>
  <c r="C137" i="53"/>
  <c r="C138" i="53"/>
  <c r="C139" i="53"/>
  <c r="C140" i="53"/>
  <c r="C141" i="53"/>
  <c r="C142" i="53"/>
  <c r="C143" i="53"/>
  <c r="C144" i="53"/>
  <c r="C145" i="53"/>
  <c r="C146" i="53"/>
  <c r="C147" i="53"/>
  <c r="C148" i="53"/>
  <c r="C149" i="53"/>
  <c r="C150" i="53"/>
  <c r="C151" i="53"/>
  <c r="C152" i="53"/>
  <c r="C153" i="53"/>
  <c r="C154" i="53"/>
  <c r="C155" i="53"/>
  <c r="C156" i="53"/>
  <c r="C157" i="53"/>
  <c r="C158" i="53"/>
  <c r="C159" i="53"/>
  <c r="C160" i="53"/>
  <c r="C161" i="53"/>
  <c r="C162" i="53"/>
  <c r="C163" i="53"/>
  <c r="C164" i="53"/>
  <c r="C165" i="53"/>
  <c r="C166" i="53"/>
  <c r="C167" i="53"/>
  <c r="C168" i="53"/>
  <c r="C169" i="53"/>
  <c r="C170" i="53"/>
  <c r="C171" i="53"/>
  <c r="C172" i="53"/>
  <c r="C173" i="53"/>
  <c r="C174" i="53"/>
  <c r="C175" i="53"/>
  <c r="C176" i="53"/>
  <c r="C177" i="53"/>
  <c r="C178" i="53"/>
  <c r="C179" i="53"/>
  <c r="C180" i="53"/>
  <c r="C181" i="53"/>
  <c r="C182" i="53"/>
  <c r="C183" i="53"/>
  <c r="C184" i="53"/>
  <c r="C185" i="53"/>
  <c r="C186" i="53"/>
  <c r="C187" i="53"/>
  <c r="C188" i="53"/>
  <c r="C189" i="53"/>
  <c r="C190" i="53"/>
  <c r="C191" i="53"/>
  <c r="C192" i="53"/>
  <c r="C193" i="53"/>
  <c r="C194" i="53"/>
  <c r="C195" i="53"/>
  <c r="C196" i="53"/>
  <c r="C197" i="53"/>
  <c r="C198" i="53"/>
  <c r="C199" i="53"/>
  <c r="C200" i="53"/>
  <c r="C201" i="53"/>
  <c r="C202" i="53"/>
  <c r="C203" i="53"/>
  <c r="C204" i="53"/>
  <c r="C205" i="53"/>
  <c r="C206" i="53"/>
  <c r="C207" i="53"/>
  <c r="C208" i="53"/>
  <c r="C209" i="53"/>
  <c r="C210" i="53"/>
  <c r="C211" i="53"/>
  <c r="C212" i="53"/>
  <c r="C213" i="53"/>
  <c r="C214" i="53"/>
  <c r="C215" i="53"/>
  <c r="C216" i="53"/>
  <c r="C217" i="53"/>
  <c r="C218" i="53"/>
  <c r="C219" i="53"/>
  <c r="C220" i="53"/>
  <c r="C221" i="53"/>
  <c r="C222" i="53"/>
  <c r="C223" i="53"/>
  <c r="C224" i="53"/>
  <c r="C225" i="53"/>
  <c r="C226" i="53"/>
  <c r="C227" i="53"/>
  <c r="C228" i="53"/>
  <c r="C229" i="53"/>
  <c r="C230" i="53"/>
  <c r="C231" i="53"/>
  <c r="C232" i="53"/>
  <c r="C233" i="53"/>
  <c r="C234" i="53"/>
  <c r="C235" i="53"/>
  <c r="C236" i="53"/>
  <c r="C237" i="53"/>
  <c r="C238" i="53"/>
  <c r="C239" i="53"/>
  <c r="C240" i="53"/>
  <c r="C241" i="53"/>
  <c r="C242" i="53"/>
  <c r="C243" i="53"/>
  <c r="C244" i="53"/>
  <c r="C245" i="53"/>
  <c r="C246" i="53"/>
  <c r="C247" i="53"/>
  <c r="C248" i="53"/>
  <c r="C249" i="53"/>
  <c r="C250" i="53"/>
  <c r="C251" i="53"/>
  <c r="C252" i="53"/>
  <c r="C253" i="53"/>
  <c r="C254" i="53"/>
  <c r="C255" i="53"/>
  <c r="C256" i="53"/>
  <c r="C257" i="53"/>
  <c r="C258" i="53"/>
  <c r="C259" i="53"/>
  <c r="C260" i="53"/>
  <c r="C261" i="53"/>
  <c r="C262" i="53"/>
  <c r="C263" i="53"/>
  <c r="C264" i="53"/>
  <c r="C265" i="53"/>
  <c r="C266" i="53"/>
  <c r="C267" i="53"/>
  <c r="C268" i="53"/>
  <c r="C269" i="53"/>
  <c r="C270" i="53"/>
  <c r="C271" i="53"/>
  <c r="C272" i="53"/>
  <c r="C273" i="53"/>
  <c r="C274" i="53"/>
  <c r="C275" i="53"/>
  <c r="C276" i="53"/>
  <c r="C277" i="53"/>
  <c r="C278" i="53"/>
  <c r="C279" i="53"/>
  <c r="C280" i="53"/>
  <c r="C281" i="53"/>
  <c r="C282" i="53"/>
  <c r="C283" i="53"/>
  <c r="C284" i="53"/>
  <c r="C285" i="53"/>
  <c r="C286" i="53"/>
  <c r="C287" i="53"/>
  <c r="C288" i="53"/>
  <c r="C289" i="53"/>
  <c r="C290" i="53"/>
  <c r="C291" i="53"/>
  <c r="C292" i="53"/>
  <c r="C293" i="53"/>
  <c r="C294" i="53"/>
  <c r="C295" i="53"/>
  <c r="C296" i="53"/>
  <c r="C297" i="53"/>
  <c r="C298" i="53"/>
  <c r="C299" i="53"/>
  <c r="C300" i="53"/>
  <c r="C301" i="53"/>
  <c r="C302" i="53"/>
  <c r="C303" i="53"/>
  <c r="C304" i="53"/>
  <c r="C305" i="53"/>
  <c r="C306" i="53"/>
  <c r="C307" i="53"/>
  <c r="C308" i="53"/>
  <c r="C309" i="53"/>
  <c r="C310" i="53"/>
  <c r="C311" i="53"/>
  <c r="C312" i="53"/>
  <c r="C313" i="53"/>
  <c r="C314" i="53"/>
  <c r="C315" i="53"/>
  <c r="C316" i="53"/>
  <c r="C317" i="53"/>
  <c r="C318" i="53"/>
  <c r="C319" i="53"/>
  <c r="C320" i="53"/>
  <c r="C321" i="53"/>
  <c r="C322" i="53"/>
  <c r="C323" i="53"/>
  <c r="C324" i="53"/>
  <c r="C325" i="53"/>
  <c r="C326" i="53"/>
  <c r="C327" i="53"/>
  <c r="C328" i="53"/>
  <c r="C329" i="53"/>
  <c r="C330" i="53"/>
  <c r="C331" i="53"/>
  <c r="C332" i="53"/>
  <c r="C333" i="53"/>
  <c r="C334" i="53"/>
  <c r="C335" i="53"/>
  <c r="C336" i="53"/>
  <c r="C337" i="53"/>
  <c r="C338" i="53"/>
  <c r="C339" i="53"/>
  <c r="C340" i="53"/>
  <c r="C341" i="53"/>
  <c r="C342" i="53"/>
  <c r="C343" i="53"/>
  <c r="C344" i="53"/>
  <c r="C345" i="53"/>
  <c r="C346" i="53"/>
  <c r="C347" i="53"/>
  <c r="C348" i="53"/>
  <c r="C349" i="53"/>
  <c r="C350" i="53"/>
  <c r="C351" i="53"/>
  <c r="C352" i="53"/>
  <c r="C353" i="53"/>
  <c r="C354" i="53"/>
  <c r="C355" i="53"/>
  <c r="C356" i="53"/>
  <c r="C357" i="53"/>
  <c r="C358" i="53"/>
  <c r="C359" i="53"/>
  <c r="C360" i="53"/>
  <c r="C361" i="53"/>
  <c r="C362" i="53"/>
  <c r="C363" i="53"/>
  <c r="C364" i="53"/>
  <c r="C365" i="53"/>
  <c r="C366" i="53"/>
  <c r="C367" i="53"/>
  <c r="C368" i="53"/>
  <c r="C369" i="53"/>
  <c r="C370" i="53"/>
  <c r="C371" i="53"/>
  <c r="C372" i="53"/>
  <c r="C373" i="53"/>
  <c r="C374" i="53"/>
  <c r="C375" i="53"/>
  <c r="C376" i="53"/>
  <c r="C377" i="53"/>
  <c r="C378" i="53"/>
  <c r="C379" i="53"/>
  <c r="C380" i="53"/>
  <c r="C381" i="53"/>
  <c r="C382" i="53"/>
  <c r="C383" i="53"/>
  <c r="C384" i="53"/>
  <c r="C385" i="53"/>
  <c r="C386" i="53"/>
  <c r="C387" i="53"/>
  <c r="C388" i="53"/>
  <c r="C389" i="53"/>
  <c r="C390" i="53"/>
  <c r="C391" i="53"/>
  <c r="C392" i="53"/>
  <c r="C393" i="53"/>
  <c r="C394" i="53"/>
  <c r="C395" i="53"/>
  <c r="C396" i="53"/>
  <c r="C397" i="53"/>
  <c r="C398" i="53"/>
  <c r="C399" i="53"/>
  <c r="C400" i="53"/>
  <c r="C401" i="53"/>
  <c r="C402" i="53"/>
  <c r="C403" i="53"/>
  <c r="C404" i="53"/>
  <c r="C405" i="53"/>
  <c r="C406" i="53"/>
  <c r="C407" i="53"/>
  <c r="C408" i="53"/>
  <c r="C409" i="53"/>
  <c r="C410" i="53"/>
  <c r="C411" i="53"/>
  <c r="C412" i="53"/>
  <c r="C413" i="53"/>
  <c r="C414" i="53"/>
  <c r="C415" i="53"/>
  <c r="C416" i="53"/>
  <c r="C417" i="53"/>
  <c r="C418" i="53"/>
  <c r="C419" i="53"/>
  <c r="C420" i="53"/>
  <c r="C421" i="53"/>
  <c r="C422" i="53"/>
  <c r="C423" i="53"/>
  <c r="C424" i="53"/>
  <c r="C425" i="53"/>
  <c r="C426" i="53"/>
  <c r="C427" i="53"/>
  <c r="C428" i="53"/>
  <c r="C429" i="53"/>
  <c r="C430" i="53"/>
  <c r="C431" i="53"/>
  <c r="C432" i="53"/>
  <c r="C433" i="53"/>
  <c r="C434" i="53"/>
  <c r="C435" i="53"/>
  <c r="C436" i="53"/>
  <c r="C437" i="53"/>
  <c r="C438" i="53"/>
  <c r="C439" i="53"/>
  <c r="C440" i="53"/>
  <c r="C441" i="53"/>
  <c r="C442" i="53"/>
  <c r="C443" i="53"/>
  <c r="C444" i="53"/>
  <c r="C445" i="53"/>
  <c r="C446" i="53"/>
  <c r="C447" i="53"/>
  <c r="C448" i="53"/>
  <c r="C449" i="53"/>
  <c r="C450" i="53"/>
  <c r="C451" i="53"/>
  <c r="C452" i="53"/>
  <c r="C453" i="53"/>
  <c r="C454" i="53"/>
  <c r="C455" i="53"/>
  <c r="C456" i="53"/>
  <c r="C457" i="53"/>
  <c r="C458" i="53"/>
  <c r="C459" i="53"/>
  <c r="C460" i="53"/>
  <c r="C461" i="53"/>
  <c r="C462" i="53"/>
  <c r="C463" i="53"/>
  <c r="C464" i="53"/>
  <c r="C465" i="53"/>
  <c r="C466" i="53"/>
  <c r="C467" i="53"/>
  <c r="C468" i="53"/>
  <c r="C469" i="53"/>
  <c r="C470" i="53"/>
  <c r="C471" i="53"/>
  <c r="C472" i="53"/>
  <c r="C473" i="53"/>
  <c r="C474" i="53"/>
  <c r="C475" i="53"/>
  <c r="C476" i="53"/>
  <c r="C477" i="53"/>
  <c r="C478" i="53"/>
  <c r="C479" i="53"/>
  <c r="C480" i="53"/>
  <c r="C481" i="53"/>
  <c r="C482" i="53"/>
  <c r="C483" i="53"/>
  <c r="C484" i="53"/>
  <c r="C485" i="53"/>
  <c r="C486" i="53"/>
  <c r="C487" i="53"/>
  <c r="C488" i="53"/>
  <c r="C489" i="53"/>
  <c r="C490" i="53"/>
  <c r="C491" i="53"/>
  <c r="C492" i="53"/>
  <c r="C493" i="53"/>
  <c r="C494" i="53"/>
  <c r="C495" i="53"/>
  <c r="C496" i="53"/>
  <c r="C497" i="53"/>
  <c r="C498" i="53"/>
  <c r="C499" i="53"/>
  <c r="C500" i="53"/>
  <c r="C501" i="53"/>
  <c r="C502" i="53"/>
  <c r="C503" i="53"/>
  <c r="C504" i="53"/>
  <c r="C505" i="53"/>
  <c r="C506" i="53"/>
  <c r="C507" i="53"/>
  <c r="C508" i="53"/>
  <c r="C509" i="53"/>
  <c r="C510" i="53"/>
  <c r="C511" i="53"/>
  <c r="C512" i="53"/>
  <c r="C513" i="53"/>
  <c r="C514" i="53"/>
  <c r="C515" i="53"/>
  <c r="C516" i="53"/>
  <c r="C517" i="53"/>
  <c r="C518" i="53"/>
  <c r="C519" i="53"/>
  <c r="C520" i="53"/>
  <c r="C521" i="53"/>
  <c r="C522" i="53"/>
  <c r="C523" i="53"/>
  <c r="C524" i="53"/>
  <c r="C525" i="53"/>
  <c r="C526" i="53"/>
  <c r="C527" i="53"/>
  <c r="C528" i="53"/>
  <c r="C529" i="53"/>
  <c r="C530" i="53"/>
  <c r="C531" i="53"/>
  <c r="C532" i="53"/>
  <c r="C533" i="53"/>
  <c r="C534" i="53"/>
  <c r="C535" i="53"/>
  <c r="C536" i="53"/>
  <c r="C537" i="53"/>
  <c r="C538" i="53"/>
  <c r="C539" i="53"/>
  <c r="C540" i="53"/>
  <c r="C541" i="53"/>
  <c r="C542" i="53"/>
  <c r="C543" i="53"/>
  <c r="C544" i="53"/>
  <c r="C545" i="53"/>
  <c r="C546" i="53"/>
  <c r="C547" i="53"/>
  <c r="C548" i="53"/>
  <c r="C549" i="53"/>
  <c r="C550" i="53"/>
  <c r="C551" i="53"/>
  <c r="C552" i="53"/>
  <c r="C553" i="53"/>
  <c r="C554" i="53"/>
  <c r="C555" i="53"/>
  <c r="C556" i="53"/>
  <c r="C557" i="53"/>
  <c r="C558" i="53"/>
  <c r="C559" i="53"/>
  <c r="C560" i="53"/>
  <c r="C561" i="53"/>
  <c r="C562" i="53"/>
  <c r="C563" i="53"/>
  <c r="C564" i="53"/>
  <c r="C565" i="53"/>
  <c r="C566" i="53"/>
  <c r="C567" i="53"/>
  <c r="C568" i="53"/>
  <c r="C569" i="53"/>
  <c r="C570" i="53"/>
  <c r="C571" i="53"/>
  <c r="C572" i="53"/>
  <c r="C573" i="53"/>
  <c r="C574" i="53"/>
  <c r="C575" i="53"/>
  <c r="C576" i="53"/>
  <c r="C577" i="53"/>
  <c r="C578" i="53"/>
  <c r="C579" i="53"/>
  <c r="C580" i="53"/>
  <c r="C581" i="53"/>
  <c r="C582" i="53"/>
  <c r="C583" i="53"/>
  <c r="C584" i="53"/>
  <c r="C585" i="53"/>
  <c r="C586" i="53"/>
  <c r="C587" i="53"/>
  <c r="C588" i="53"/>
  <c r="C589" i="53"/>
  <c r="C590" i="53"/>
  <c r="C591" i="53"/>
  <c r="C592" i="53"/>
  <c r="C593" i="53"/>
  <c r="C594" i="53"/>
  <c r="C595" i="53"/>
  <c r="C596" i="53"/>
  <c r="C597" i="53"/>
  <c r="C598" i="53"/>
  <c r="C599" i="53"/>
  <c r="C600" i="53"/>
  <c r="C601" i="53"/>
  <c r="C602" i="53"/>
  <c r="C603" i="53"/>
  <c r="C604" i="53"/>
  <c r="C605" i="53"/>
  <c r="C606" i="53"/>
  <c r="C607" i="53"/>
  <c r="C608" i="53"/>
  <c r="C609" i="53"/>
  <c r="C610" i="53"/>
  <c r="C611" i="53"/>
  <c r="C612" i="53"/>
  <c r="C613" i="53"/>
  <c r="C614" i="53"/>
  <c r="C615" i="53"/>
  <c r="C616" i="53"/>
  <c r="C617" i="53"/>
  <c r="C618" i="53"/>
  <c r="C619" i="53"/>
  <c r="C620" i="53"/>
  <c r="C621" i="53"/>
  <c r="C622" i="53"/>
  <c r="C623" i="53"/>
  <c r="C624" i="53"/>
  <c r="C625" i="53"/>
  <c r="C626" i="53"/>
  <c r="C627" i="53"/>
  <c r="C628" i="53"/>
  <c r="C629" i="53"/>
  <c r="C630" i="53"/>
  <c r="C631" i="53"/>
  <c r="C632" i="53"/>
  <c r="C633" i="53"/>
  <c r="C634" i="53"/>
  <c r="C635" i="53"/>
  <c r="C636" i="53"/>
  <c r="C637" i="53"/>
  <c r="C638" i="53"/>
  <c r="C639" i="53"/>
  <c r="C640" i="53"/>
  <c r="C641" i="53"/>
  <c r="C642" i="53"/>
  <c r="C643" i="53"/>
  <c r="C644" i="53"/>
  <c r="C645" i="53"/>
  <c r="C646" i="53"/>
  <c r="C647" i="53"/>
  <c r="C648" i="53"/>
  <c r="C649" i="53"/>
  <c r="C650" i="53"/>
  <c r="C651" i="53"/>
  <c r="C652" i="53"/>
  <c r="C653" i="53"/>
  <c r="C654" i="53"/>
  <c r="C655" i="53"/>
  <c r="C656" i="53"/>
  <c r="C657" i="53"/>
  <c r="C658" i="53"/>
  <c r="C659" i="53"/>
  <c r="C660" i="53"/>
  <c r="C661" i="53"/>
  <c r="C662" i="53"/>
  <c r="C663" i="53"/>
  <c r="C664" i="53"/>
  <c r="C665" i="53"/>
  <c r="C666" i="53"/>
  <c r="C667" i="53"/>
  <c r="C668" i="53"/>
  <c r="C669" i="53"/>
  <c r="C670" i="53"/>
  <c r="C671" i="53"/>
  <c r="C672" i="53"/>
  <c r="C673" i="53"/>
  <c r="C674" i="53"/>
  <c r="C675" i="53"/>
  <c r="C676" i="53"/>
  <c r="C677" i="53"/>
  <c r="C678" i="53"/>
  <c r="C679" i="53"/>
  <c r="C680" i="53"/>
  <c r="C681" i="53"/>
  <c r="C682" i="53"/>
  <c r="C683" i="53"/>
  <c r="C684" i="53"/>
  <c r="C685" i="53"/>
  <c r="C686" i="53"/>
  <c r="C687" i="53"/>
  <c r="C688" i="53"/>
  <c r="C689" i="53"/>
  <c r="C690" i="53"/>
  <c r="C691" i="53"/>
  <c r="C692" i="53"/>
  <c r="C693" i="53"/>
  <c r="C694" i="53"/>
  <c r="C695" i="53"/>
  <c r="C696" i="53"/>
  <c r="C697" i="53"/>
  <c r="C698" i="53"/>
  <c r="C699" i="53"/>
  <c r="C700" i="53"/>
  <c r="C701" i="53"/>
  <c r="C702" i="53"/>
  <c r="C703" i="53"/>
  <c r="C704" i="53"/>
  <c r="C705" i="53"/>
  <c r="C706" i="53"/>
  <c r="C707" i="53"/>
  <c r="C708" i="53"/>
  <c r="C709" i="53"/>
  <c r="C710" i="53"/>
  <c r="C711" i="53"/>
  <c r="C712" i="53"/>
  <c r="C713" i="53"/>
  <c r="C714" i="53"/>
  <c r="C715" i="53"/>
  <c r="C716" i="53"/>
  <c r="C717" i="53"/>
  <c r="C718" i="53"/>
  <c r="C719" i="53"/>
  <c r="C720" i="53"/>
  <c r="C721" i="53"/>
  <c r="C722" i="53"/>
  <c r="C723" i="53"/>
  <c r="C724" i="53"/>
  <c r="C725" i="53"/>
  <c r="C726" i="53"/>
  <c r="C727" i="53"/>
  <c r="C728" i="53"/>
  <c r="C729" i="53"/>
  <c r="C730" i="53"/>
  <c r="C731" i="53"/>
  <c r="C732" i="53"/>
  <c r="C733" i="53"/>
  <c r="C734" i="53"/>
  <c r="C735" i="53"/>
  <c r="C736" i="53"/>
  <c r="C737" i="53"/>
  <c r="C738" i="53"/>
  <c r="C739" i="53"/>
  <c r="C740" i="53"/>
  <c r="C741" i="53"/>
  <c r="C742" i="53"/>
  <c r="C743" i="53"/>
  <c r="C744" i="53"/>
  <c r="C745" i="53"/>
  <c r="C746" i="53"/>
  <c r="C747" i="53"/>
  <c r="C748" i="53"/>
  <c r="C749" i="53"/>
  <c r="C750" i="53"/>
  <c r="C751" i="53"/>
  <c r="C752" i="53"/>
  <c r="C753" i="53"/>
  <c r="C754" i="53"/>
  <c r="C755" i="53"/>
  <c r="C756" i="53"/>
  <c r="C757" i="53"/>
  <c r="C758" i="53"/>
  <c r="C759" i="53"/>
  <c r="C760" i="53"/>
  <c r="C761" i="53"/>
  <c r="C762" i="53"/>
  <c r="C763" i="53"/>
  <c r="C764" i="53"/>
  <c r="C765" i="53"/>
  <c r="C766" i="53"/>
  <c r="C767" i="53"/>
  <c r="C768" i="53"/>
  <c r="C769" i="53"/>
  <c r="C770" i="53"/>
  <c r="C771" i="53"/>
  <c r="C772" i="53"/>
  <c r="C773" i="53"/>
  <c r="C774" i="53"/>
  <c r="C775" i="53"/>
  <c r="C776" i="53"/>
  <c r="C777" i="53"/>
  <c r="C778" i="53"/>
  <c r="C779" i="53"/>
  <c r="C780" i="53"/>
  <c r="C781" i="53"/>
  <c r="C782" i="53"/>
  <c r="C783" i="53"/>
  <c r="C784" i="53"/>
  <c r="C785" i="53"/>
  <c r="C786" i="53"/>
  <c r="C787" i="53"/>
  <c r="C788" i="53"/>
  <c r="C789" i="53"/>
  <c r="C790" i="53"/>
  <c r="C791" i="53"/>
  <c r="C792" i="53"/>
  <c r="C793" i="53"/>
  <c r="C794" i="53"/>
  <c r="C795" i="53"/>
  <c r="C796" i="53"/>
  <c r="C797" i="53"/>
  <c r="C798" i="53"/>
  <c r="C799" i="53"/>
  <c r="C800" i="53"/>
  <c r="C801" i="53"/>
  <c r="C802" i="53"/>
  <c r="C803" i="53"/>
  <c r="C804" i="53"/>
  <c r="C805" i="53"/>
  <c r="C806" i="53"/>
  <c r="C807" i="53"/>
  <c r="C808" i="53"/>
  <c r="C809" i="53"/>
  <c r="C810" i="53"/>
  <c r="C811" i="53"/>
  <c r="C812" i="53"/>
  <c r="C813" i="53"/>
  <c r="C814" i="53"/>
  <c r="C815" i="53"/>
  <c r="C816" i="53"/>
  <c r="C817" i="53"/>
  <c r="C818" i="53"/>
  <c r="C819" i="53"/>
  <c r="C820" i="53"/>
  <c r="C821" i="53"/>
  <c r="C822" i="53"/>
  <c r="C823" i="53"/>
  <c r="C824" i="53"/>
  <c r="C825" i="53"/>
  <c r="C826" i="53"/>
  <c r="C827" i="53"/>
  <c r="C828" i="53"/>
  <c r="C829" i="53"/>
  <c r="C830" i="53"/>
  <c r="C831" i="53"/>
  <c r="C832" i="53"/>
  <c r="C833" i="53"/>
  <c r="C834" i="53"/>
  <c r="C835" i="53"/>
  <c r="C836" i="53"/>
  <c r="C837" i="53"/>
  <c r="C838" i="53"/>
  <c r="C839" i="53"/>
  <c r="C840" i="53"/>
  <c r="C841" i="53"/>
  <c r="C842" i="53"/>
  <c r="C843" i="53"/>
  <c r="C844" i="53"/>
  <c r="C845" i="53"/>
  <c r="C846" i="53"/>
  <c r="C847" i="53"/>
  <c r="C848" i="53"/>
  <c r="C849" i="53"/>
  <c r="C850" i="53"/>
  <c r="C851" i="53"/>
  <c r="C852" i="53"/>
  <c r="C853" i="53"/>
  <c r="C854" i="53"/>
  <c r="C855" i="53"/>
  <c r="C856" i="53"/>
  <c r="C857" i="53"/>
  <c r="C858" i="53"/>
  <c r="C859" i="53"/>
  <c r="C860" i="53"/>
  <c r="C861" i="53"/>
  <c r="C862" i="53"/>
  <c r="C863" i="53"/>
  <c r="C864" i="53"/>
  <c r="C865" i="53"/>
  <c r="C866" i="53"/>
  <c r="C867" i="53"/>
  <c r="C868" i="53"/>
  <c r="C869" i="53"/>
  <c r="C870" i="53"/>
  <c r="C871" i="53"/>
  <c r="C872" i="53"/>
  <c r="C873" i="53"/>
  <c r="C874" i="53"/>
  <c r="C875" i="53"/>
  <c r="C876" i="53"/>
  <c r="C877" i="53"/>
  <c r="C878" i="53"/>
  <c r="C879" i="53"/>
  <c r="C880" i="53"/>
  <c r="C881" i="53"/>
  <c r="C882" i="53"/>
  <c r="C883" i="53"/>
  <c r="C884" i="53"/>
  <c r="C885" i="53"/>
  <c r="C886" i="53"/>
  <c r="C887" i="53"/>
  <c r="C888" i="53"/>
  <c r="C889" i="53"/>
  <c r="C890" i="53"/>
  <c r="C891" i="53"/>
  <c r="C892" i="53"/>
  <c r="C893" i="53"/>
  <c r="C894" i="53"/>
  <c r="C895" i="53"/>
  <c r="C896" i="53"/>
  <c r="C897" i="53"/>
  <c r="C898" i="53"/>
  <c r="C899" i="53"/>
  <c r="C900" i="53"/>
  <c r="C901" i="53"/>
  <c r="C902" i="53"/>
  <c r="C903" i="53"/>
  <c r="C904" i="53"/>
  <c r="C905" i="53"/>
  <c r="C906" i="53"/>
  <c r="C907" i="53"/>
  <c r="C908" i="53"/>
  <c r="C909" i="53"/>
  <c r="C910" i="53"/>
  <c r="C911" i="53"/>
  <c r="C912" i="53"/>
  <c r="C913" i="53"/>
  <c r="C914" i="53"/>
  <c r="C915" i="53"/>
  <c r="C916" i="53"/>
  <c r="C917" i="53"/>
  <c r="C918" i="53"/>
  <c r="C919" i="53"/>
  <c r="C920" i="53"/>
  <c r="C921" i="53"/>
  <c r="C922" i="53"/>
  <c r="C923" i="53"/>
  <c r="C924" i="53"/>
  <c r="C925" i="53"/>
  <c r="C926" i="53"/>
  <c r="C927" i="53"/>
  <c r="C928" i="53"/>
  <c r="C929" i="53"/>
  <c r="C930" i="53"/>
  <c r="C931" i="53"/>
  <c r="C932" i="53"/>
  <c r="C933" i="53"/>
  <c r="C934" i="53"/>
  <c r="C935" i="53"/>
  <c r="C936" i="53"/>
  <c r="C937" i="53"/>
  <c r="C938" i="53"/>
  <c r="C939" i="53"/>
  <c r="C940" i="53"/>
  <c r="C941" i="53"/>
  <c r="C942" i="53"/>
  <c r="C943" i="53"/>
  <c r="C944" i="53"/>
  <c r="C945" i="53"/>
  <c r="C946" i="53"/>
  <c r="C947" i="53"/>
  <c r="C948" i="53"/>
  <c r="C949" i="53"/>
  <c r="C950" i="53"/>
  <c r="C951" i="53"/>
  <c r="C952" i="53"/>
  <c r="C953" i="53"/>
  <c r="C954" i="53"/>
  <c r="C955" i="53"/>
  <c r="C956" i="53"/>
  <c r="C957" i="53"/>
  <c r="C958" i="53"/>
  <c r="C959" i="53"/>
  <c r="C960" i="53"/>
  <c r="C961" i="53"/>
  <c r="C962" i="53"/>
  <c r="C963" i="53"/>
  <c r="C964" i="53"/>
  <c r="C965" i="53"/>
  <c r="C966" i="53"/>
  <c r="C967" i="53"/>
  <c r="C968" i="53"/>
  <c r="C969" i="53"/>
  <c r="C970" i="53"/>
  <c r="C971" i="53"/>
  <c r="C972" i="53"/>
  <c r="C973" i="53"/>
  <c r="C974" i="53"/>
  <c r="C975" i="53"/>
  <c r="C976" i="53"/>
  <c r="C977" i="53"/>
  <c r="C978" i="53"/>
  <c r="C979" i="53"/>
  <c r="C980" i="53"/>
  <c r="C981" i="53"/>
  <c r="C982" i="53"/>
  <c r="C983" i="53"/>
  <c r="C984" i="53"/>
  <c r="C985" i="53"/>
  <c r="C986" i="53"/>
  <c r="C987" i="53"/>
  <c r="C988" i="53"/>
  <c r="C989" i="53"/>
  <c r="C990" i="53"/>
  <c r="C991" i="53"/>
  <c r="C992" i="53"/>
  <c r="C993" i="53"/>
  <c r="C994" i="53"/>
  <c r="C995" i="53"/>
  <c r="C996" i="53"/>
  <c r="C997" i="53"/>
  <c r="C998" i="53"/>
  <c r="C999" i="53"/>
  <c r="C1000" i="53"/>
  <c r="C1001" i="53"/>
  <c r="C1002" i="53"/>
  <c r="C1003" i="53"/>
  <c r="C1004" i="53"/>
  <c r="C1005" i="53"/>
  <c r="C1006" i="53"/>
  <c r="C1007" i="53"/>
  <c r="C1008" i="53"/>
  <c r="C1009" i="53"/>
  <c r="C1010" i="53"/>
  <c r="C1011" i="53"/>
  <c r="C1012" i="53"/>
  <c r="C1013" i="53"/>
  <c r="C1014" i="53"/>
  <c r="C1015" i="53"/>
  <c r="C1016" i="53"/>
  <c r="C1017" i="53"/>
  <c r="C1018" i="53"/>
  <c r="C1019" i="53"/>
  <c r="C1020" i="53"/>
  <c r="C1021" i="53"/>
  <c r="C1022" i="53"/>
  <c r="C1023" i="53"/>
  <c r="C1024" i="53"/>
  <c r="C1025" i="53"/>
  <c r="C1026" i="53"/>
  <c r="C1027" i="53"/>
  <c r="C1028" i="53"/>
  <c r="C1029" i="53"/>
  <c r="C1030" i="53"/>
  <c r="C1031" i="53"/>
  <c r="C1032" i="53"/>
  <c r="C1033" i="53"/>
  <c r="C1034" i="53"/>
  <c r="C1035" i="53"/>
  <c r="C1036" i="53"/>
  <c r="C1037" i="53"/>
  <c r="C1038" i="53"/>
  <c r="C1039" i="53"/>
  <c r="C1040" i="53"/>
  <c r="C1041" i="53"/>
  <c r="C1042" i="53"/>
  <c r="C1043" i="53"/>
  <c r="C1044" i="53"/>
  <c r="C1045" i="53"/>
  <c r="C1046" i="53"/>
  <c r="C1047" i="53"/>
  <c r="C1048" i="53"/>
  <c r="C1049" i="53"/>
  <c r="C1050" i="53"/>
  <c r="C1051" i="53"/>
  <c r="C1052" i="53"/>
  <c r="C1053" i="53"/>
  <c r="C1054" i="53"/>
  <c r="C1055" i="53"/>
  <c r="C1056" i="53"/>
  <c r="C1057" i="53"/>
  <c r="C1058" i="53"/>
  <c r="C1059" i="53"/>
  <c r="C1060" i="53"/>
  <c r="C1061" i="53"/>
  <c r="C1062" i="53"/>
  <c r="C1063" i="53"/>
  <c r="C1064" i="53"/>
  <c r="C1065" i="53"/>
  <c r="C1066" i="53"/>
  <c r="C1067" i="53"/>
  <c r="C1068" i="53"/>
  <c r="C1069" i="53"/>
  <c r="C1070" i="53"/>
  <c r="C1071" i="53"/>
  <c r="C1072" i="53"/>
  <c r="C1073" i="53"/>
  <c r="C1074" i="53"/>
  <c r="C1075" i="53"/>
  <c r="C1076" i="53"/>
  <c r="C1077" i="53"/>
  <c r="C1078" i="53"/>
  <c r="C1079" i="53"/>
  <c r="C1080" i="53"/>
  <c r="C1081" i="53"/>
  <c r="C1082" i="53"/>
  <c r="C1083" i="53"/>
  <c r="C1084" i="53"/>
  <c r="C1085" i="53"/>
  <c r="C1086" i="53"/>
  <c r="C1087" i="53"/>
  <c r="C1088" i="53"/>
  <c r="C1089" i="53"/>
  <c r="C1090" i="53"/>
  <c r="C1091" i="53"/>
  <c r="C1092" i="53"/>
  <c r="C1093" i="53"/>
  <c r="C1094" i="53"/>
  <c r="C1095" i="53"/>
  <c r="C1096" i="53"/>
  <c r="C1097" i="53"/>
  <c r="C1098" i="53"/>
  <c r="C1099" i="53"/>
  <c r="C1100" i="53"/>
  <c r="C1101" i="53"/>
  <c r="C1102" i="53"/>
  <c r="C1103" i="53"/>
  <c r="C1104" i="53"/>
  <c r="C1105" i="53"/>
  <c r="C1106" i="53"/>
  <c r="C1107" i="53"/>
  <c r="C1108" i="53"/>
  <c r="C1109" i="53"/>
  <c r="C1110" i="53"/>
  <c r="C1111" i="53"/>
  <c r="C1112" i="53"/>
  <c r="C1113" i="53"/>
  <c r="C1114" i="53"/>
  <c r="C1115" i="53"/>
  <c r="C1116" i="53"/>
  <c r="C1117" i="53"/>
  <c r="C1118" i="53"/>
  <c r="C1119" i="53"/>
  <c r="C1120" i="53"/>
  <c r="C1121" i="53"/>
  <c r="C1122" i="53"/>
  <c r="C1123" i="53"/>
  <c r="C1124" i="53"/>
  <c r="C1125" i="53"/>
  <c r="C1126" i="53"/>
  <c r="C1127" i="53"/>
  <c r="C1128" i="53"/>
  <c r="C1129" i="53"/>
  <c r="C1130" i="53"/>
  <c r="C1131" i="53"/>
  <c r="C1132" i="53"/>
  <c r="C1133" i="53"/>
  <c r="C1134" i="53"/>
  <c r="C1135" i="53"/>
  <c r="C1136" i="53"/>
  <c r="C1137" i="53"/>
  <c r="C1138" i="53"/>
  <c r="C1139" i="53"/>
  <c r="C1140" i="53"/>
  <c r="C1141" i="53"/>
  <c r="C1142" i="53"/>
  <c r="C1143" i="53"/>
  <c r="C1144" i="53"/>
  <c r="C1145" i="53"/>
  <c r="C1146" i="53"/>
  <c r="C1147" i="53"/>
  <c r="C1148" i="53"/>
  <c r="C1149" i="53"/>
  <c r="C1150" i="53"/>
  <c r="C1151" i="53"/>
  <c r="C1152" i="53"/>
  <c r="C1153" i="53"/>
  <c r="C1154" i="53"/>
  <c r="C1155" i="53"/>
  <c r="C1156" i="53"/>
  <c r="C1157" i="53"/>
  <c r="C1158" i="53"/>
  <c r="C1159" i="53"/>
  <c r="C1160" i="53"/>
  <c r="C1161" i="53"/>
  <c r="C1162" i="53"/>
  <c r="C1163" i="53"/>
  <c r="C1164" i="53"/>
  <c r="C1165" i="53"/>
  <c r="C1166" i="53"/>
  <c r="C1167" i="53"/>
  <c r="C1168" i="53"/>
  <c r="C1169" i="53"/>
  <c r="C1170" i="53"/>
  <c r="C1171" i="53"/>
  <c r="C1172" i="53"/>
  <c r="C1173" i="53"/>
  <c r="C1174" i="53"/>
  <c r="C1175" i="53"/>
  <c r="C1176" i="53"/>
  <c r="C1177" i="53"/>
  <c r="C1178" i="53"/>
  <c r="C1179" i="53"/>
  <c r="C1180" i="53"/>
  <c r="C1181" i="53"/>
  <c r="C1182" i="53"/>
  <c r="C1183" i="53"/>
  <c r="C1184" i="53"/>
  <c r="C1185" i="53"/>
  <c r="C1186" i="53"/>
  <c r="C1187" i="53"/>
  <c r="C1188" i="53"/>
  <c r="C1189" i="53"/>
  <c r="C1190" i="53"/>
  <c r="C1191" i="53"/>
  <c r="C1192" i="53"/>
  <c r="C1193" i="53"/>
  <c r="C1194" i="53"/>
  <c r="C1195" i="53"/>
  <c r="C1196" i="53"/>
  <c r="C1197" i="53"/>
  <c r="C1198" i="53"/>
  <c r="C1199" i="53"/>
  <c r="C1200" i="53"/>
  <c r="C1201" i="53"/>
  <c r="C1202" i="53"/>
  <c r="C1203" i="53"/>
  <c r="C1204" i="53"/>
  <c r="C1205" i="53"/>
  <c r="C1206" i="53"/>
  <c r="C1207" i="53"/>
  <c r="C1208" i="53"/>
  <c r="C1209" i="53"/>
  <c r="C1210" i="53"/>
  <c r="C1211" i="53"/>
  <c r="C1212" i="53"/>
  <c r="C1213" i="53"/>
  <c r="C1214" i="53"/>
  <c r="C1215" i="53"/>
  <c r="C1216" i="53"/>
  <c r="C1217" i="53"/>
  <c r="C1218" i="53"/>
  <c r="C1219" i="53"/>
  <c r="C1220" i="53"/>
  <c r="C1221" i="53"/>
  <c r="C1222" i="53"/>
  <c r="C1223" i="53"/>
  <c r="C1224" i="53"/>
  <c r="C1225" i="53"/>
  <c r="C1226" i="53"/>
  <c r="C1227" i="53"/>
  <c r="C1228" i="53"/>
  <c r="C1229" i="53"/>
  <c r="C1230" i="53"/>
  <c r="C1231" i="53"/>
  <c r="C1232" i="53"/>
  <c r="C1233" i="53"/>
  <c r="C1234" i="53"/>
  <c r="C1235" i="53"/>
  <c r="C1236" i="53"/>
  <c r="C1237" i="53"/>
  <c r="C1238" i="53"/>
  <c r="C1239" i="53"/>
  <c r="C1240" i="53"/>
  <c r="C1241" i="53"/>
  <c r="C1242" i="53"/>
  <c r="C1243" i="53"/>
  <c r="C1244" i="53"/>
  <c r="C1245" i="53"/>
  <c r="C1246" i="53"/>
  <c r="C1247" i="53"/>
  <c r="C1248" i="53"/>
  <c r="C1249" i="53"/>
  <c r="C1250" i="53"/>
  <c r="C1251" i="53"/>
  <c r="C1252" i="53"/>
  <c r="C1253" i="53"/>
  <c r="C1254" i="53"/>
  <c r="C1255" i="53"/>
  <c r="C1256" i="53"/>
  <c r="C1257" i="53"/>
  <c r="C1258" i="53"/>
  <c r="C1259" i="53"/>
  <c r="C1260" i="53"/>
  <c r="C1261" i="53"/>
  <c r="C1262" i="53"/>
  <c r="C1263" i="53"/>
  <c r="C1264" i="53"/>
  <c r="C1265" i="53"/>
  <c r="C1266" i="53"/>
  <c r="C1267" i="53"/>
  <c r="C1268" i="53"/>
  <c r="C1269" i="53"/>
  <c r="C1270" i="53"/>
  <c r="C1271" i="53"/>
  <c r="C1272" i="53"/>
  <c r="C1273" i="53"/>
  <c r="C1274" i="53"/>
  <c r="C1275" i="53"/>
  <c r="C1276" i="53"/>
  <c r="C1277" i="53"/>
  <c r="C1278" i="53"/>
  <c r="C1279" i="53"/>
  <c r="C1280" i="53"/>
  <c r="C1281" i="53"/>
  <c r="C1282" i="53"/>
  <c r="C1283" i="53"/>
  <c r="C1284" i="53"/>
  <c r="C1285" i="53"/>
  <c r="C1286" i="53"/>
  <c r="C1287" i="53"/>
  <c r="C1288" i="53"/>
  <c r="C1289" i="53"/>
  <c r="C1290" i="53"/>
  <c r="C1291" i="53"/>
  <c r="C1292" i="53"/>
  <c r="C1293" i="53"/>
  <c r="C1294" i="53"/>
  <c r="C1295" i="53"/>
  <c r="C1296" i="53"/>
  <c r="C1297" i="53"/>
  <c r="C1298" i="53"/>
  <c r="C1299" i="53"/>
  <c r="C1300" i="53"/>
  <c r="C1301" i="53"/>
  <c r="C1302" i="53"/>
  <c r="C1303" i="53"/>
  <c r="C1304" i="53"/>
  <c r="C1305" i="53"/>
  <c r="C1306" i="53"/>
  <c r="C1307" i="53"/>
  <c r="C1308" i="53"/>
  <c r="C1309" i="53"/>
  <c r="C1310" i="53"/>
  <c r="C1311" i="53"/>
  <c r="C1312" i="53"/>
  <c r="C1313" i="53"/>
  <c r="C1314" i="53"/>
  <c r="C1315" i="53"/>
  <c r="C1316" i="53"/>
  <c r="C1317" i="53"/>
  <c r="C1318" i="53"/>
  <c r="C1319" i="53"/>
  <c r="C1320" i="53"/>
  <c r="C1321" i="53"/>
  <c r="C1322" i="53"/>
  <c r="C1323" i="53"/>
  <c r="C1324" i="53"/>
  <c r="C1325" i="53"/>
  <c r="C1326" i="53"/>
  <c r="C1327" i="53"/>
  <c r="C1328" i="53"/>
  <c r="C1329" i="53"/>
  <c r="C1330" i="53"/>
  <c r="C1331" i="53"/>
  <c r="C1332" i="53"/>
  <c r="C1333" i="53"/>
  <c r="C1334" i="53"/>
  <c r="C1335" i="53"/>
  <c r="C1336" i="53"/>
  <c r="C1337" i="53"/>
  <c r="C1338" i="53"/>
  <c r="C1339" i="53"/>
  <c r="C1340" i="53"/>
  <c r="C1341" i="53"/>
  <c r="C1342" i="53"/>
  <c r="C1343" i="53"/>
  <c r="C1344" i="53"/>
  <c r="C1345" i="53"/>
  <c r="C1346" i="53"/>
  <c r="C1347" i="53"/>
  <c r="C1348" i="53"/>
  <c r="C1349" i="53"/>
  <c r="C1350" i="53"/>
  <c r="C1351" i="53"/>
  <c r="C1352" i="53"/>
  <c r="C1353" i="53"/>
  <c r="C1354" i="53"/>
  <c r="C1355" i="53"/>
  <c r="C1356" i="53"/>
  <c r="C1357" i="53"/>
  <c r="C1358" i="53"/>
  <c r="C1359" i="53"/>
  <c r="C1360" i="53"/>
  <c r="C1361" i="53"/>
  <c r="C1362" i="53"/>
  <c r="C1363" i="53"/>
  <c r="C1364" i="53"/>
  <c r="C1365" i="53"/>
  <c r="C1366" i="53"/>
  <c r="C1367" i="53"/>
  <c r="C1368" i="53"/>
  <c r="C1369" i="53"/>
  <c r="C1370" i="53"/>
  <c r="C1371" i="53"/>
  <c r="C1372" i="53"/>
  <c r="C1373" i="53"/>
  <c r="C1374" i="53"/>
  <c r="C1375" i="53"/>
  <c r="C1376" i="53"/>
  <c r="C1377" i="53"/>
  <c r="C1378" i="53"/>
  <c r="C1379" i="53"/>
  <c r="C1380" i="53"/>
  <c r="C1381" i="53"/>
  <c r="C1382" i="53"/>
  <c r="C1383" i="53"/>
  <c r="C1384" i="53"/>
  <c r="C1385" i="53"/>
  <c r="C1386" i="53"/>
  <c r="C1387" i="53"/>
  <c r="C1388" i="53"/>
  <c r="C1389" i="53"/>
  <c r="C1390" i="53"/>
  <c r="C1391" i="53"/>
  <c r="C1392" i="53"/>
  <c r="C1393" i="53"/>
  <c r="C1394" i="53"/>
  <c r="C1395" i="53"/>
  <c r="C1396" i="53"/>
  <c r="C1397" i="53"/>
  <c r="C1398" i="53"/>
  <c r="C1399" i="53"/>
  <c r="C1400" i="53"/>
  <c r="C1401" i="53"/>
  <c r="C1402" i="53"/>
  <c r="C1403" i="53"/>
  <c r="C1404" i="53"/>
  <c r="C1405" i="53"/>
  <c r="C1406" i="53"/>
  <c r="C1407" i="53"/>
  <c r="C1408" i="53"/>
  <c r="C1409" i="53"/>
  <c r="C1410" i="53"/>
  <c r="C1411" i="53"/>
  <c r="C1412" i="53"/>
  <c r="C1413" i="53"/>
  <c r="C1414" i="53"/>
  <c r="C1415" i="53"/>
  <c r="C1416" i="53"/>
  <c r="C1417" i="53"/>
  <c r="C1418" i="53"/>
  <c r="C1419" i="53"/>
  <c r="C1420" i="53"/>
  <c r="C1421" i="53"/>
  <c r="C1422" i="53"/>
  <c r="C1423" i="53"/>
  <c r="C1424" i="53"/>
  <c r="C1425" i="53"/>
  <c r="C1426" i="53"/>
  <c r="C1427" i="53"/>
  <c r="C1428" i="53"/>
  <c r="C1429" i="53"/>
  <c r="C1430" i="53"/>
  <c r="C1431" i="53"/>
  <c r="C1432" i="53"/>
  <c r="C1433" i="53"/>
  <c r="C1434" i="53"/>
  <c r="C1435" i="53"/>
  <c r="C1436" i="53"/>
  <c r="C1437" i="53"/>
  <c r="C1438" i="53"/>
  <c r="C1439" i="53"/>
  <c r="C1440" i="53"/>
  <c r="C1441" i="53"/>
  <c r="C1442" i="53"/>
  <c r="C1443" i="53"/>
  <c r="C1444" i="53"/>
  <c r="C1445" i="53"/>
  <c r="C1446" i="53"/>
  <c r="C1447" i="53"/>
  <c r="C1448" i="53"/>
  <c r="C1449" i="53"/>
  <c r="C1450" i="53"/>
  <c r="C1451" i="53"/>
  <c r="C1452" i="53"/>
  <c r="C1453" i="53"/>
  <c r="C1454" i="53"/>
  <c r="C1455" i="53"/>
  <c r="C1456" i="53"/>
  <c r="C1457" i="53"/>
  <c r="C1458" i="53"/>
  <c r="C1459" i="53"/>
  <c r="C1460" i="53"/>
  <c r="C1461" i="53"/>
  <c r="C1462" i="53"/>
  <c r="C1463" i="53"/>
  <c r="C1464" i="53"/>
  <c r="C1465" i="53"/>
  <c r="C1466" i="53"/>
  <c r="C1467" i="53"/>
  <c r="C1468" i="53"/>
  <c r="C1469" i="53"/>
  <c r="C1470" i="53"/>
  <c r="C1471" i="53"/>
  <c r="C1472" i="53"/>
  <c r="C1473" i="53"/>
  <c r="C1474" i="53"/>
  <c r="C1475" i="53"/>
  <c r="C1476" i="53"/>
  <c r="C1477" i="53"/>
  <c r="C1478" i="53"/>
  <c r="C1479" i="53"/>
  <c r="C1480" i="53"/>
  <c r="C1481" i="53"/>
  <c r="C1482" i="53"/>
  <c r="C1483" i="53"/>
  <c r="C1484" i="53"/>
  <c r="C1485" i="53"/>
  <c r="C1486" i="53"/>
  <c r="C1487" i="53"/>
  <c r="C1488" i="53"/>
  <c r="C1489" i="53"/>
  <c r="C1490" i="53"/>
  <c r="C1491" i="53"/>
  <c r="C1492" i="53"/>
  <c r="C1493" i="53"/>
  <c r="C1494" i="53"/>
  <c r="C1495" i="53"/>
  <c r="C1496" i="53"/>
  <c r="C1497" i="53"/>
  <c r="C1498" i="53"/>
  <c r="C1499" i="53"/>
  <c r="C1500" i="53"/>
  <c r="C1501" i="53"/>
  <c r="C1502" i="53"/>
  <c r="C1503" i="53"/>
  <c r="C1504" i="53"/>
  <c r="C1505" i="53"/>
  <c r="C1506" i="53"/>
  <c r="C1507" i="53"/>
  <c r="C1508" i="53"/>
  <c r="C1509" i="53"/>
  <c r="C1510" i="53"/>
  <c r="C1511" i="53"/>
  <c r="C1512" i="53"/>
  <c r="C1513" i="53"/>
  <c r="C1514" i="53"/>
  <c r="C1515" i="53"/>
  <c r="C1516" i="53"/>
  <c r="C1517" i="53"/>
  <c r="C1518" i="53"/>
  <c r="C1519" i="53"/>
  <c r="C1520" i="53"/>
  <c r="C1521" i="53"/>
  <c r="C1522" i="53"/>
  <c r="C1523" i="53"/>
  <c r="C1524" i="53"/>
  <c r="C1525" i="53"/>
  <c r="C1526" i="53"/>
  <c r="C1527" i="53"/>
  <c r="C1528" i="53"/>
  <c r="C1529" i="53"/>
  <c r="C1530" i="53"/>
  <c r="C1531" i="53"/>
  <c r="C1532" i="53"/>
  <c r="C1533" i="53"/>
  <c r="C1534" i="53"/>
  <c r="C1535" i="53"/>
  <c r="C1536" i="53"/>
  <c r="C1537" i="53"/>
  <c r="C1538" i="53"/>
  <c r="C1539" i="53"/>
  <c r="C1540" i="53"/>
  <c r="C1541" i="53"/>
  <c r="C1542" i="53"/>
  <c r="C1543" i="53"/>
  <c r="C1544" i="53"/>
  <c r="C1545" i="53"/>
  <c r="C1546" i="53"/>
  <c r="C1547" i="53"/>
  <c r="C1548" i="53"/>
  <c r="C1549" i="53"/>
  <c r="C1550" i="53"/>
  <c r="C1551" i="53"/>
  <c r="C1552" i="53"/>
  <c r="C1553" i="53"/>
  <c r="C1554" i="53"/>
  <c r="C1555" i="53"/>
  <c r="C1556" i="53"/>
  <c r="C1557" i="53"/>
  <c r="C1558" i="53"/>
  <c r="C1559" i="53"/>
  <c r="C1560" i="53"/>
  <c r="C1561" i="53"/>
  <c r="C1562" i="53"/>
  <c r="C1563" i="53"/>
  <c r="C1564" i="53"/>
  <c r="C1565" i="53"/>
  <c r="C1566" i="53"/>
  <c r="C1567" i="53"/>
  <c r="C1568" i="53"/>
  <c r="C1569" i="53"/>
  <c r="C1570" i="53"/>
  <c r="C1571" i="53"/>
  <c r="C1572" i="53"/>
  <c r="C1573" i="53"/>
  <c r="C1574" i="53"/>
  <c r="C1575" i="53"/>
  <c r="C1576" i="53"/>
  <c r="C1577" i="53"/>
  <c r="C1578" i="53"/>
  <c r="C1579" i="53"/>
  <c r="C1580" i="53"/>
  <c r="C1581" i="53"/>
  <c r="C1582" i="53"/>
  <c r="C1583" i="53"/>
  <c r="C1584" i="53"/>
  <c r="C1585" i="53"/>
  <c r="C1586" i="53"/>
  <c r="C1587" i="53"/>
  <c r="C1588" i="53"/>
  <c r="C1589" i="53"/>
  <c r="C1590" i="53"/>
  <c r="C1591" i="53"/>
  <c r="C1592" i="53"/>
  <c r="C1593" i="53"/>
  <c r="C1594" i="53"/>
  <c r="C1595" i="53"/>
  <c r="C1596" i="53"/>
  <c r="C1597" i="53"/>
  <c r="C1598" i="53"/>
  <c r="C1599" i="53"/>
  <c r="C1600" i="53"/>
  <c r="C1601" i="53"/>
  <c r="C1602" i="53"/>
  <c r="C1603" i="53"/>
  <c r="C1604" i="53"/>
  <c r="C1605" i="53"/>
  <c r="C1606" i="53"/>
  <c r="C1607" i="53"/>
  <c r="C1608" i="53"/>
  <c r="C1609" i="53"/>
  <c r="C1610" i="53"/>
  <c r="C1611" i="53"/>
  <c r="C1612" i="53"/>
  <c r="C1613" i="53"/>
  <c r="C1614" i="53"/>
  <c r="C1615" i="53"/>
  <c r="C1616" i="53"/>
  <c r="C1617" i="53"/>
  <c r="C1618" i="53"/>
  <c r="C1619" i="53"/>
  <c r="C1620" i="53"/>
  <c r="C1621" i="53"/>
  <c r="C1622" i="53"/>
  <c r="C1623" i="53"/>
  <c r="C1624" i="53"/>
  <c r="C1625" i="53"/>
  <c r="C1626" i="53"/>
  <c r="C1627" i="53"/>
  <c r="C1628" i="53"/>
  <c r="C1629" i="53"/>
  <c r="C1630" i="53"/>
  <c r="C1631" i="53"/>
  <c r="C1632" i="53"/>
  <c r="C1633" i="53"/>
  <c r="C1634" i="53"/>
  <c r="C1635" i="53"/>
  <c r="C1636" i="53"/>
  <c r="C1637" i="53"/>
  <c r="C1638" i="53"/>
  <c r="C1639" i="53"/>
  <c r="C1640" i="53"/>
  <c r="C1641" i="53"/>
  <c r="C1642" i="53"/>
  <c r="C1643" i="53"/>
  <c r="C1644" i="53"/>
  <c r="C1645" i="53"/>
  <c r="C1646" i="53"/>
  <c r="C1647" i="53"/>
  <c r="C1648" i="53"/>
  <c r="C1649" i="53"/>
  <c r="C1650" i="53"/>
  <c r="C1651" i="53"/>
  <c r="C1652" i="53"/>
  <c r="C1653" i="53"/>
  <c r="C1654" i="53"/>
  <c r="C1655" i="53"/>
  <c r="C1656" i="53"/>
  <c r="C1657" i="53"/>
  <c r="C1658" i="53"/>
  <c r="C1659" i="53"/>
  <c r="C1660" i="53"/>
  <c r="C1661" i="53"/>
  <c r="C1662" i="53"/>
  <c r="C1663" i="53"/>
  <c r="C1664" i="53"/>
  <c r="C1665" i="53"/>
  <c r="C1666" i="53"/>
  <c r="C1667" i="53"/>
  <c r="C1668" i="53"/>
  <c r="C1669" i="53"/>
  <c r="C1670" i="53"/>
  <c r="C1671" i="53"/>
  <c r="C1672" i="53"/>
  <c r="C1673" i="53"/>
  <c r="C1674" i="53"/>
  <c r="C1675" i="53"/>
  <c r="C1676" i="53"/>
  <c r="C1677" i="53"/>
  <c r="C1678" i="53"/>
  <c r="C1679" i="53"/>
  <c r="C1680" i="53"/>
  <c r="C1681" i="53"/>
  <c r="C1682" i="53"/>
  <c r="C1683" i="53"/>
  <c r="C1684" i="53"/>
  <c r="C1685" i="53"/>
  <c r="C1686" i="53"/>
  <c r="C1687" i="53"/>
  <c r="C1688" i="53"/>
  <c r="C1689" i="53"/>
  <c r="C1690" i="53"/>
  <c r="C1691" i="53"/>
  <c r="C1692" i="53"/>
  <c r="C1693" i="53"/>
  <c r="C1694" i="53"/>
  <c r="C1695" i="53"/>
  <c r="C1696" i="53"/>
  <c r="C1697" i="53"/>
  <c r="C1698" i="53"/>
  <c r="C1699" i="53"/>
  <c r="C1700" i="53"/>
  <c r="C1701" i="53"/>
  <c r="C1702" i="53"/>
  <c r="C1703" i="53"/>
  <c r="C1704" i="53"/>
  <c r="C1705" i="53"/>
  <c r="C1706" i="53"/>
  <c r="C1707" i="53"/>
  <c r="C1708" i="53"/>
  <c r="C1709" i="53"/>
  <c r="C1710" i="53"/>
  <c r="C1711" i="53"/>
  <c r="C1712" i="53"/>
  <c r="C1713" i="53"/>
  <c r="C1714" i="53"/>
  <c r="C1715" i="53"/>
  <c r="C1716" i="53"/>
  <c r="C1717" i="53"/>
  <c r="C1718" i="53"/>
  <c r="C1719" i="53"/>
  <c r="C1720" i="53"/>
  <c r="C1721" i="53"/>
  <c r="C1722" i="53"/>
  <c r="C1723" i="53"/>
  <c r="C1724" i="53"/>
  <c r="C1725" i="53"/>
  <c r="C1726" i="53"/>
  <c r="C1727" i="53"/>
  <c r="C1728" i="53"/>
  <c r="C1729" i="53"/>
  <c r="C1730" i="53"/>
  <c r="C1731" i="53"/>
  <c r="C1732" i="53"/>
  <c r="C1733" i="53"/>
  <c r="C1734" i="53"/>
  <c r="C1735" i="53"/>
  <c r="C1736" i="53"/>
  <c r="C1737" i="53"/>
  <c r="C1738" i="53"/>
  <c r="C1739" i="53"/>
  <c r="C1740" i="53"/>
  <c r="C1741" i="53"/>
  <c r="C1742" i="53"/>
  <c r="C1743" i="53"/>
  <c r="C1744" i="53"/>
  <c r="C1745" i="53"/>
  <c r="C1746" i="53"/>
  <c r="C1747" i="53"/>
  <c r="C1748" i="53"/>
  <c r="C1749" i="53"/>
  <c r="C1750" i="53"/>
  <c r="C1751" i="53"/>
  <c r="C1752" i="53"/>
  <c r="C1753" i="53"/>
  <c r="C1754" i="53"/>
  <c r="C1755" i="53"/>
  <c r="C1756" i="53"/>
  <c r="C1757" i="53"/>
  <c r="C1758" i="53"/>
  <c r="C1759" i="53"/>
  <c r="C1760" i="53"/>
  <c r="C1761" i="53"/>
  <c r="C1762" i="53"/>
  <c r="C1763" i="53"/>
  <c r="C1764" i="53"/>
  <c r="C1765" i="53"/>
  <c r="C1766" i="53"/>
  <c r="C1767" i="53"/>
  <c r="C1768" i="53"/>
  <c r="C1769" i="53"/>
  <c r="C1770" i="53"/>
  <c r="C1771" i="53"/>
  <c r="C1772" i="53"/>
  <c r="C1773" i="53"/>
  <c r="C1774" i="53"/>
  <c r="C1775" i="53"/>
  <c r="C1776" i="53"/>
  <c r="C1777" i="53"/>
  <c r="C1778" i="53"/>
  <c r="C1779" i="53"/>
  <c r="C1780" i="53"/>
  <c r="C1781" i="53"/>
  <c r="C1782" i="53"/>
  <c r="C1783" i="53"/>
  <c r="C1784" i="53"/>
  <c r="C1785" i="53"/>
  <c r="C1786" i="53"/>
  <c r="C1787" i="53"/>
  <c r="C1788" i="53"/>
  <c r="C1789" i="53"/>
  <c r="C1790" i="53"/>
  <c r="C1791" i="53"/>
  <c r="C1792" i="53"/>
  <c r="C1793" i="53"/>
  <c r="C1794" i="53"/>
  <c r="C1795" i="53"/>
  <c r="C1796" i="53"/>
  <c r="C1797" i="53"/>
  <c r="C1798" i="53"/>
  <c r="C1799" i="53"/>
  <c r="C1800" i="53"/>
  <c r="C1801" i="53"/>
  <c r="C1802" i="53"/>
  <c r="C1803" i="53"/>
  <c r="C1804" i="53"/>
  <c r="C1805" i="53"/>
  <c r="C1806" i="53"/>
  <c r="C1807" i="53"/>
  <c r="C1808" i="53"/>
  <c r="C1809" i="53"/>
  <c r="C1810" i="53"/>
  <c r="C1811" i="53"/>
  <c r="C1812" i="53"/>
  <c r="C1813" i="53"/>
  <c r="C1814" i="53"/>
  <c r="C1815" i="53"/>
  <c r="C1816" i="53"/>
  <c r="C1817" i="53"/>
  <c r="C1818" i="53"/>
  <c r="C1819" i="53"/>
  <c r="C1820" i="53"/>
  <c r="C1821" i="53"/>
  <c r="C1822" i="53"/>
  <c r="C1823" i="53"/>
  <c r="C1824" i="53"/>
  <c r="C1825" i="53"/>
  <c r="C1826" i="53"/>
  <c r="C1827" i="53"/>
  <c r="C1828" i="53"/>
  <c r="C1829" i="53"/>
  <c r="C1830" i="53"/>
  <c r="C1831" i="53"/>
  <c r="C1832" i="53"/>
  <c r="C1833" i="53"/>
  <c r="C1834" i="53"/>
  <c r="C1835" i="53"/>
  <c r="C1836" i="53"/>
  <c r="C1837" i="53"/>
  <c r="C1838" i="53"/>
  <c r="C1839" i="53"/>
  <c r="C1840" i="53"/>
  <c r="C1841" i="53"/>
  <c r="C1842" i="53"/>
  <c r="C1843" i="53"/>
  <c r="C1844" i="53"/>
  <c r="C1845" i="53"/>
  <c r="C1846" i="53"/>
  <c r="C1847" i="53"/>
  <c r="C1848" i="53"/>
  <c r="C1849" i="53"/>
  <c r="C1850" i="53"/>
  <c r="C1851" i="53"/>
  <c r="C1852" i="53"/>
  <c r="C1853" i="53"/>
  <c r="C1854" i="53"/>
  <c r="C1855" i="53"/>
  <c r="C1856" i="53"/>
  <c r="C1857" i="53"/>
  <c r="C1858" i="53"/>
  <c r="C1859" i="53"/>
  <c r="C1860" i="53"/>
  <c r="C1861" i="53"/>
  <c r="C1862" i="53"/>
  <c r="C1863" i="53"/>
  <c r="C1864" i="53"/>
  <c r="C1865" i="53"/>
  <c r="C1866" i="53"/>
  <c r="C1867" i="53"/>
  <c r="C1868" i="53"/>
  <c r="C1869" i="53"/>
  <c r="C1870" i="53"/>
  <c r="C1871" i="53"/>
  <c r="C1872" i="53"/>
  <c r="C1873" i="53"/>
  <c r="C1874" i="53"/>
  <c r="C1875" i="53"/>
  <c r="C1876" i="53"/>
  <c r="C1877" i="53"/>
  <c r="C1878" i="53"/>
  <c r="C1879" i="53"/>
  <c r="C1880" i="53"/>
  <c r="C1881" i="53"/>
  <c r="C1882" i="53"/>
  <c r="C1883" i="53"/>
  <c r="C1884" i="53"/>
  <c r="C1885" i="53"/>
  <c r="C1886" i="53"/>
  <c r="C1887" i="53"/>
  <c r="C1888" i="53"/>
  <c r="C1889" i="53"/>
  <c r="C1890" i="53"/>
  <c r="C1891" i="53"/>
  <c r="C1892" i="53"/>
  <c r="C1893" i="53"/>
  <c r="C1894" i="53"/>
  <c r="C1895" i="53"/>
  <c r="C1896" i="53"/>
  <c r="C1897" i="53"/>
  <c r="C1898" i="53"/>
  <c r="C1899" i="53"/>
  <c r="C1900" i="53"/>
  <c r="C1901" i="53"/>
  <c r="C1902" i="53"/>
  <c r="C1903" i="53"/>
  <c r="C1904" i="53"/>
  <c r="C1905" i="53"/>
  <c r="C1906" i="53"/>
  <c r="C1907" i="53"/>
  <c r="C1908" i="53"/>
  <c r="C1909" i="53"/>
  <c r="C1910" i="53"/>
  <c r="C1911" i="53"/>
  <c r="C1912" i="53"/>
  <c r="C1913" i="53"/>
  <c r="C1914" i="53"/>
  <c r="C1915" i="53"/>
  <c r="C1916" i="53"/>
  <c r="C1917" i="53"/>
  <c r="C1918" i="53"/>
  <c r="C1919" i="53"/>
  <c r="C1920" i="53"/>
  <c r="C1921" i="53"/>
  <c r="C1922" i="53"/>
  <c r="C1923" i="53"/>
  <c r="C1924" i="53"/>
  <c r="C1925" i="53"/>
  <c r="C1926" i="53"/>
  <c r="C1927" i="53"/>
  <c r="C1928" i="53"/>
  <c r="C1929" i="53"/>
  <c r="C1930" i="53"/>
  <c r="C1931" i="53"/>
  <c r="C1932" i="53"/>
  <c r="C1933" i="53"/>
  <c r="C1934" i="53"/>
  <c r="C1935" i="53"/>
  <c r="C1936" i="53"/>
  <c r="C1937" i="53"/>
  <c r="C1938" i="53"/>
  <c r="C1939" i="53"/>
  <c r="C1940" i="53"/>
  <c r="C1941" i="53"/>
  <c r="C1942" i="53"/>
  <c r="C1943" i="53"/>
  <c r="C1944" i="53"/>
  <c r="C1945" i="53"/>
  <c r="C1946" i="53"/>
  <c r="C1947" i="53"/>
  <c r="C1948" i="53"/>
  <c r="C1949" i="53"/>
  <c r="C1950" i="53"/>
  <c r="C1951" i="53"/>
  <c r="C1952" i="53"/>
  <c r="C1953" i="53"/>
  <c r="C1954" i="53"/>
  <c r="C1955" i="53"/>
  <c r="C1956" i="53"/>
  <c r="C1957" i="53"/>
  <c r="C1958" i="53"/>
  <c r="C1959" i="53"/>
  <c r="C1960" i="53"/>
  <c r="C1961" i="53"/>
  <c r="C1962" i="53"/>
  <c r="C1963" i="53"/>
  <c r="C1964" i="53"/>
  <c r="C1965" i="53"/>
  <c r="C1966" i="53"/>
  <c r="C1967" i="53"/>
  <c r="C1968" i="53"/>
  <c r="C1969" i="53"/>
  <c r="C1970" i="53"/>
  <c r="C1971" i="53"/>
  <c r="C1972" i="53"/>
  <c r="C1973" i="53"/>
  <c r="C1974" i="53"/>
  <c r="C1975" i="53"/>
  <c r="C1976" i="53"/>
  <c r="C1977" i="53"/>
  <c r="C1978" i="53"/>
  <c r="C1979" i="53"/>
  <c r="C1980" i="53"/>
  <c r="C1981" i="53"/>
  <c r="C1982" i="53"/>
  <c r="C1983" i="53"/>
  <c r="C1984" i="53"/>
  <c r="C1985" i="53"/>
  <c r="C1986" i="53"/>
  <c r="C1987" i="53"/>
  <c r="C1988" i="53"/>
  <c r="C1989" i="53"/>
  <c r="C1990" i="53"/>
  <c r="C1991" i="53"/>
  <c r="C1992" i="53"/>
  <c r="C1993" i="53"/>
  <c r="C1994" i="53"/>
  <c r="C1995" i="53"/>
  <c r="C1996" i="53"/>
  <c r="C1997" i="53"/>
  <c r="C1998" i="53"/>
  <c r="C1999" i="53"/>
  <c r="C2000" i="53"/>
  <c r="C2001" i="53"/>
  <c r="C2002" i="53"/>
  <c r="C2003" i="53"/>
  <c r="C2004" i="53"/>
  <c r="C2005" i="53"/>
  <c r="C2006" i="53"/>
  <c r="C2007" i="53"/>
  <c r="C2008" i="53"/>
  <c r="C2009" i="53"/>
  <c r="C2010" i="53"/>
  <c r="C2011" i="53"/>
  <c r="C2012" i="53"/>
  <c r="C2013" i="53"/>
  <c r="C2014" i="53"/>
  <c r="C2015" i="53"/>
  <c r="C2016" i="53"/>
  <c r="C2017" i="53"/>
  <c r="C2018" i="53"/>
  <c r="C2019" i="53"/>
  <c r="C2020" i="53"/>
  <c r="C2021" i="53"/>
  <c r="C2022" i="53"/>
  <c r="C2023" i="53"/>
  <c r="C2024" i="53"/>
  <c r="C2025" i="53"/>
  <c r="C2026" i="53"/>
  <c r="C2027" i="53"/>
  <c r="C2028" i="53"/>
  <c r="C2029" i="53"/>
  <c r="C2030" i="53"/>
  <c r="C2031" i="53"/>
  <c r="C2032" i="53"/>
  <c r="C2033" i="53"/>
  <c r="C2034" i="53"/>
  <c r="C2035" i="53"/>
  <c r="C2036" i="53"/>
  <c r="C2037" i="53"/>
  <c r="C2038" i="53"/>
  <c r="C2039" i="53"/>
  <c r="C2040" i="53"/>
  <c r="C2041" i="53"/>
  <c r="C2042" i="53"/>
  <c r="C2043" i="53"/>
  <c r="C2044" i="53"/>
  <c r="C2045" i="53"/>
  <c r="C2046" i="53"/>
  <c r="C2047" i="53"/>
  <c r="C2048" i="53"/>
  <c r="C2049" i="53"/>
  <c r="C2050" i="53"/>
  <c r="C2051" i="53"/>
  <c r="C2052" i="53"/>
  <c r="C2053" i="53"/>
  <c r="C2054" i="53"/>
  <c r="C2055" i="53"/>
  <c r="C2056" i="53"/>
  <c r="C2057" i="53"/>
  <c r="C2058" i="53"/>
  <c r="C2059" i="53"/>
  <c r="C2060" i="53"/>
  <c r="C2061" i="53"/>
  <c r="C2062" i="53"/>
  <c r="C2063" i="53"/>
  <c r="C2064" i="53"/>
  <c r="C2065" i="53"/>
  <c r="C2066" i="53"/>
  <c r="C2067" i="53"/>
  <c r="C2068" i="53"/>
  <c r="C2069" i="53"/>
  <c r="C2070" i="53"/>
  <c r="C2071" i="53"/>
  <c r="C2072" i="53"/>
  <c r="C2073" i="53"/>
  <c r="C2074" i="53"/>
  <c r="C2075" i="53"/>
  <c r="C2076" i="53"/>
  <c r="C2077" i="53"/>
  <c r="C2078" i="53"/>
  <c r="C2079" i="53"/>
  <c r="C2080" i="53"/>
  <c r="C2081" i="53"/>
  <c r="C2082" i="53"/>
  <c r="C2083" i="53"/>
  <c r="C2084" i="53"/>
  <c r="C2085" i="53"/>
  <c r="C2086" i="53"/>
  <c r="C2087" i="53"/>
  <c r="C2088" i="53"/>
  <c r="C2089" i="53"/>
  <c r="C2090" i="53"/>
  <c r="C2091" i="53"/>
  <c r="C2092" i="53"/>
  <c r="C2093" i="53"/>
  <c r="C2094" i="53"/>
  <c r="C2095" i="53"/>
  <c r="C2096" i="53"/>
  <c r="C2097" i="53"/>
  <c r="C2098" i="53"/>
  <c r="C2099" i="53"/>
  <c r="C2100" i="53"/>
  <c r="C2101" i="53"/>
  <c r="C2102" i="53"/>
  <c r="C2103" i="53"/>
  <c r="C2104" i="53"/>
  <c r="C2105" i="53"/>
  <c r="C2106" i="53"/>
  <c r="C2107" i="53"/>
  <c r="C2108" i="53"/>
  <c r="C2109" i="53"/>
  <c r="C2110" i="53"/>
  <c r="C2111" i="53"/>
  <c r="C2112" i="53"/>
  <c r="C2113" i="53"/>
  <c r="C2114" i="53"/>
  <c r="C2115" i="53"/>
  <c r="C2116" i="53"/>
  <c r="C2117" i="53"/>
  <c r="C2118" i="53"/>
  <c r="C2119" i="53"/>
  <c r="C2120" i="53"/>
  <c r="C2121" i="53"/>
  <c r="C2122" i="53"/>
  <c r="C2123" i="53"/>
  <c r="C2124" i="53"/>
  <c r="C2125" i="53"/>
  <c r="C2126" i="53"/>
  <c r="C2127" i="53"/>
  <c r="C2128" i="53"/>
  <c r="C2129" i="53"/>
  <c r="C2130" i="53"/>
  <c r="C2131" i="53"/>
  <c r="C2132" i="53"/>
  <c r="C2133" i="53"/>
  <c r="C2134" i="53"/>
  <c r="C2135" i="53"/>
  <c r="C2136" i="53"/>
  <c r="C2137" i="53"/>
  <c r="C2138" i="53"/>
  <c r="C2139" i="53"/>
  <c r="C2140" i="53"/>
  <c r="C2141" i="53"/>
  <c r="C2142" i="53"/>
  <c r="C2143" i="53"/>
  <c r="C2144" i="53"/>
  <c r="C2145" i="53"/>
  <c r="C2146" i="53"/>
  <c r="C2147" i="53"/>
  <c r="C2148" i="53"/>
  <c r="C2149" i="53"/>
  <c r="C2150" i="53"/>
  <c r="C2151" i="53"/>
  <c r="C2152" i="53"/>
  <c r="C2153" i="53"/>
  <c r="C2154" i="53"/>
  <c r="C2155" i="53"/>
  <c r="C2156" i="53"/>
  <c r="C2157" i="53"/>
  <c r="C2158" i="53"/>
  <c r="C2159" i="53"/>
  <c r="C2160" i="53"/>
  <c r="C2161" i="53"/>
  <c r="C2162" i="53"/>
  <c r="C2163" i="53"/>
  <c r="C2164" i="53"/>
  <c r="C2165" i="53"/>
  <c r="C2166" i="53"/>
  <c r="C2167" i="53"/>
  <c r="C2168" i="53"/>
  <c r="C2169" i="53"/>
  <c r="C2170" i="53"/>
  <c r="C2171" i="53"/>
  <c r="C2172" i="53"/>
  <c r="C2173" i="53"/>
  <c r="C2174" i="53"/>
  <c r="C2175" i="53"/>
  <c r="C2176" i="53"/>
  <c r="C2177" i="53"/>
  <c r="C2178" i="53"/>
  <c r="C2179" i="53"/>
  <c r="C2180" i="53"/>
  <c r="C2181" i="53"/>
  <c r="C2182" i="53"/>
  <c r="C2183" i="53"/>
  <c r="C2184" i="53"/>
  <c r="C2185" i="53"/>
  <c r="C2186" i="53"/>
  <c r="C2187" i="53"/>
  <c r="C2188" i="53"/>
  <c r="C2189" i="53"/>
  <c r="C2190" i="53"/>
  <c r="C2191" i="53"/>
  <c r="C2192" i="53"/>
  <c r="C2193" i="53"/>
  <c r="C2194" i="53"/>
  <c r="C2195" i="53"/>
  <c r="C2196" i="53"/>
  <c r="C2197" i="53"/>
  <c r="C2198" i="53"/>
  <c r="C2199" i="53"/>
  <c r="C2200" i="53"/>
  <c r="C2201" i="53"/>
  <c r="C2202" i="53"/>
  <c r="C2203" i="53"/>
  <c r="C2204" i="53"/>
  <c r="C2205" i="53"/>
  <c r="C2206" i="53"/>
  <c r="C2207" i="53"/>
  <c r="C2208" i="53"/>
  <c r="C2209" i="53"/>
  <c r="C2210" i="53"/>
  <c r="C2211" i="53"/>
  <c r="C2212" i="53"/>
  <c r="C2213" i="53"/>
  <c r="C2214" i="53"/>
  <c r="C2215" i="53"/>
  <c r="C2216" i="53"/>
  <c r="C2217" i="53"/>
  <c r="C2218" i="53"/>
  <c r="C2219" i="53"/>
  <c r="C2220" i="53"/>
  <c r="C2221" i="53"/>
  <c r="C2222" i="53"/>
  <c r="C2223" i="53"/>
  <c r="C2224" i="53"/>
  <c r="C2225" i="53"/>
  <c r="C2226" i="53"/>
  <c r="C2227" i="53"/>
  <c r="C2228" i="53"/>
  <c r="C2229" i="53"/>
  <c r="C2230" i="53"/>
  <c r="C2231" i="53"/>
  <c r="C2232" i="53"/>
  <c r="C2233" i="53"/>
  <c r="C2234" i="53"/>
  <c r="C2235" i="53"/>
  <c r="C2236" i="53"/>
  <c r="C2237" i="53"/>
  <c r="C2238" i="53"/>
  <c r="C2239" i="53"/>
  <c r="C2240" i="53"/>
  <c r="C2241" i="53"/>
  <c r="C2242" i="53"/>
  <c r="C2243" i="53"/>
  <c r="C2244" i="53"/>
  <c r="C2245" i="53"/>
  <c r="C2246" i="53"/>
  <c r="C2247" i="53"/>
  <c r="C2248" i="53"/>
  <c r="C2249" i="53"/>
  <c r="C2250" i="53"/>
  <c r="C2251" i="53"/>
  <c r="C2252" i="53"/>
  <c r="C2253" i="53"/>
  <c r="C2254" i="53"/>
  <c r="C2255" i="53"/>
  <c r="C2256" i="53"/>
  <c r="C2257" i="53"/>
  <c r="C2258" i="53"/>
  <c r="C2259" i="53"/>
  <c r="C2260" i="53"/>
  <c r="C2261" i="53"/>
  <c r="C2262" i="53"/>
  <c r="C2263" i="53"/>
  <c r="C2264" i="53"/>
  <c r="C2265" i="53"/>
  <c r="C2266" i="53"/>
  <c r="C2267" i="53"/>
  <c r="C2268" i="53"/>
  <c r="C2269" i="53"/>
  <c r="C2270" i="53"/>
  <c r="C2271" i="53"/>
  <c r="C2272" i="53"/>
  <c r="C2273" i="53"/>
  <c r="C2274" i="53"/>
  <c r="C2275" i="53"/>
  <c r="C2276" i="53"/>
  <c r="C2277" i="53"/>
  <c r="C2278" i="53"/>
  <c r="C2279" i="53"/>
  <c r="C2280" i="53"/>
  <c r="C2281" i="53"/>
  <c r="C2282" i="53"/>
  <c r="C2283" i="53"/>
  <c r="C2284" i="53"/>
  <c r="C2285" i="53"/>
  <c r="C2286" i="53"/>
  <c r="C2287" i="53"/>
  <c r="C2288" i="53"/>
  <c r="C2289" i="53"/>
  <c r="C2290" i="53"/>
  <c r="C2291" i="53"/>
  <c r="C2292" i="53"/>
  <c r="C2293" i="53"/>
  <c r="C2294" i="53"/>
  <c r="C2295" i="53"/>
  <c r="C2296" i="53"/>
  <c r="C2297" i="53"/>
  <c r="C2298" i="53"/>
  <c r="C2299" i="53"/>
  <c r="C2300" i="53"/>
  <c r="C2301" i="53"/>
  <c r="C2302" i="53"/>
  <c r="C2303" i="53"/>
  <c r="C2304" i="53"/>
  <c r="C2305" i="53"/>
  <c r="C2306" i="53"/>
  <c r="C2307" i="53"/>
  <c r="C2308" i="53"/>
  <c r="C2309" i="53"/>
  <c r="C2310" i="53"/>
  <c r="C2311" i="53"/>
  <c r="C2312" i="53"/>
  <c r="C2313" i="53"/>
  <c r="C2314" i="53"/>
  <c r="C2315" i="53"/>
  <c r="C2316" i="53"/>
  <c r="C2317" i="53"/>
  <c r="C2318" i="53"/>
  <c r="C2319" i="53"/>
  <c r="C2320" i="53"/>
  <c r="C2321" i="53"/>
  <c r="C2322" i="53"/>
  <c r="C2323" i="53"/>
  <c r="C2324" i="53"/>
  <c r="C2325" i="53"/>
  <c r="C2326" i="53"/>
  <c r="C2327" i="53"/>
  <c r="C2328" i="53"/>
  <c r="C2329" i="53"/>
  <c r="C2330" i="53"/>
  <c r="C2331" i="53"/>
  <c r="C2332" i="53"/>
  <c r="C2333" i="53"/>
  <c r="C2334" i="53"/>
  <c r="C2335" i="53"/>
  <c r="C2336" i="53"/>
  <c r="C2337" i="53"/>
  <c r="C2338" i="53"/>
  <c r="C2339" i="53"/>
  <c r="C2340" i="53"/>
  <c r="C2341" i="53"/>
  <c r="C2342" i="53"/>
  <c r="C2343" i="53"/>
  <c r="C2344" i="53"/>
  <c r="C2345" i="53"/>
  <c r="C2346" i="53"/>
  <c r="C2347" i="53"/>
  <c r="C2348" i="53"/>
  <c r="C2349" i="53"/>
  <c r="C2350" i="53"/>
  <c r="C2351" i="53"/>
  <c r="C2352" i="53"/>
  <c r="C2353" i="53"/>
  <c r="C2354" i="53"/>
  <c r="C2355" i="53"/>
  <c r="C2356" i="53"/>
  <c r="C2357" i="53"/>
  <c r="C2358" i="53"/>
  <c r="C2359" i="53"/>
  <c r="C2360" i="53"/>
  <c r="C2361" i="53"/>
  <c r="C2362" i="53"/>
  <c r="C2363" i="53"/>
  <c r="C2364" i="53"/>
  <c r="C2365" i="53"/>
  <c r="C2366" i="53"/>
  <c r="C2367" i="53"/>
  <c r="C2368" i="53"/>
  <c r="C2369" i="53"/>
  <c r="C2370" i="53"/>
  <c r="C2371" i="53"/>
  <c r="C2372" i="53"/>
  <c r="C2373" i="53"/>
  <c r="C2374" i="53"/>
  <c r="C2375" i="53"/>
  <c r="C2376" i="53"/>
  <c r="C2377" i="53"/>
  <c r="C2378" i="53"/>
  <c r="C2379" i="53"/>
  <c r="C2380" i="53"/>
  <c r="C2381" i="53"/>
  <c r="C2382" i="53"/>
  <c r="C2383" i="53"/>
  <c r="C2384" i="53"/>
  <c r="C2385" i="53"/>
  <c r="C2386" i="53"/>
  <c r="C2387" i="53"/>
  <c r="C2388" i="53"/>
  <c r="C2389" i="53"/>
  <c r="C2390" i="53"/>
  <c r="C2391" i="53"/>
  <c r="C2392" i="53"/>
  <c r="C2393" i="53"/>
  <c r="C2394" i="53"/>
  <c r="C2395" i="53"/>
  <c r="C2396" i="53"/>
  <c r="C2397" i="53"/>
  <c r="C2398" i="53"/>
  <c r="C2399" i="53"/>
  <c r="C2400" i="53"/>
  <c r="C2401" i="53"/>
  <c r="C2402" i="53"/>
  <c r="C2403" i="53"/>
  <c r="C2404" i="53"/>
  <c r="C2405" i="53"/>
  <c r="C2406" i="53"/>
  <c r="C2407" i="53"/>
  <c r="C2408" i="53"/>
  <c r="C2409" i="53"/>
  <c r="C2410" i="53"/>
  <c r="C2411" i="53"/>
  <c r="C2412" i="53"/>
  <c r="C2413" i="53"/>
  <c r="C2414" i="53"/>
  <c r="C2415" i="53"/>
  <c r="C2416" i="53"/>
  <c r="C2417" i="53"/>
  <c r="C2418" i="53"/>
  <c r="C2419" i="53"/>
  <c r="C2420" i="53"/>
  <c r="C2421" i="53"/>
  <c r="C2422" i="53"/>
  <c r="C2423" i="53"/>
  <c r="C2424" i="53"/>
  <c r="C2425" i="53"/>
  <c r="C2426" i="53"/>
  <c r="C2427" i="53"/>
  <c r="C2428" i="53"/>
  <c r="C2429" i="53"/>
  <c r="C2430" i="53"/>
  <c r="C2431" i="53"/>
  <c r="C2432" i="53"/>
  <c r="C2433" i="53"/>
  <c r="C2434" i="53"/>
  <c r="C2435" i="53"/>
  <c r="C2436" i="53"/>
  <c r="C2437" i="53"/>
  <c r="C2438" i="53"/>
  <c r="C2439" i="53"/>
  <c r="C2440" i="53"/>
  <c r="C2441" i="53"/>
  <c r="C2442" i="53"/>
  <c r="C2443" i="53"/>
  <c r="C2444" i="53"/>
  <c r="C2445" i="53"/>
  <c r="C2446" i="53"/>
  <c r="C2447" i="53"/>
  <c r="C2448" i="53"/>
  <c r="C2449" i="53"/>
  <c r="C2450" i="53"/>
  <c r="C2451" i="53"/>
  <c r="C2452" i="53"/>
  <c r="C2453" i="53"/>
  <c r="C2454" i="53"/>
  <c r="C2455" i="53"/>
  <c r="C2456" i="53"/>
  <c r="C2457" i="53"/>
  <c r="C2458" i="53"/>
  <c r="C2459" i="53"/>
  <c r="C2460" i="53"/>
  <c r="C2461" i="53"/>
  <c r="C2462" i="53"/>
  <c r="C2463" i="53"/>
  <c r="C2464" i="53"/>
  <c r="C2465" i="53"/>
  <c r="C2466" i="53"/>
  <c r="C2467" i="53"/>
  <c r="C2468" i="53"/>
  <c r="C2469" i="53"/>
  <c r="C2470" i="53"/>
  <c r="C2471" i="53"/>
  <c r="C2472" i="53"/>
  <c r="C2473" i="53"/>
  <c r="C2474" i="53"/>
  <c r="C2475" i="53"/>
  <c r="C2476" i="53"/>
  <c r="C2477" i="53"/>
  <c r="C2478" i="53"/>
  <c r="C2479" i="53"/>
  <c r="C2480" i="53"/>
  <c r="C2481" i="53"/>
  <c r="C2482" i="53"/>
  <c r="C2483" i="53"/>
  <c r="C2484" i="53"/>
  <c r="C2485" i="53"/>
  <c r="C2486" i="53"/>
  <c r="C2487" i="53"/>
  <c r="C2488" i="53"/>
  <c r="C2489" i="53"/>
  <c r="C2490" i="53"/>
  <c r="C2491" i="53"/>
  <c r="C2492" i="53"/>
  <c r="C2493" i="53"/>
  <c r="C2494" i="53"/>
  <c r="C2495" i="53"/>
  <c r="C2496" i="53"/>
  <c r="C2497" i="53"/>
  <c r="C2498" i="53"/>
  <c r="C2499" i="53"/>
  <c r="C2500" i="53"/>
  <c r="C2501" i="53"/>
  <c r="C2502" i="53"/>
  <c r="C2503" i="53"/>
  <c r="C2504" i="53"/>
  <c r="C2505" i="53"/>
  <c r="C2506" i="53"/>
  <c r="C2507" i="53"/>
  <c r="C2508" i="53"/>
  <c r="C2509" i="53"/>
  <c r="C2510" i="53"/>
  <c r="C2511" i="53"/>
  <c r="C2512" i="53"/>
  <c r="C2513" i="53"/>
  <c r="C2514" i="53"/>
  <c r="C2515" i="53"/>
  <c r="C2516" i="53"/>
  <c r="C2517" i="53"/>
  <c r="C2518" i="53"/>
  <c r="C2519" i="53"/>
  <c r="C2520" i="53"/>
  <c r="C2521" i="53"/>
  <c r="C2522" i="53"/>
  <c r="C2523" i="53"/>
  <c r="C2524" i="53"/>
  <c r="C2525" i="53"/>
  <c r="C2526" i="53"/>
  <c r="C2527" i="53"/>
  <c r="C2528" i="53"/>
  <c r="C2529" i="53"/>
  <c r="C2530" i="53"/>
  <c r="C2531" i="53"/>
  <c r="C2532" i="53"/>
  <c r="C2533" i="53"/>
  <c r="C2534" i="53"/>
  <c r="C2535" i="53"/>
  <c r="C2536" i="53"/>
  <c r="C2537" i="53"/>
  <c r="C2538" i="53"/>
  <c r="C2539" i="53"/>
  <c r="C2540" i="53"/>
  <c r="C2541" i="53"/>
  <c r="C2542" i="53"/>
  <c r="C2543" i="53"/>
  <c r="C2544" i="53"/>
  <c r="C2545" i="53"/>
  <c r="C2546" i="53"/>
  <c r="C2547" i="53"/>
  <c r="C2548" i="53"/>
  <c r="C2549" i="53"/>
  <c r="C2550" i="53"/>
  <c r="C2551" i="53"/>
  <c r="C2552" i="53"/>
  <c r="C2553" i="53"/>
  <c r="C2554" i="53"/>
  <c r="C2555" i="53"/>
  <c r="C2556" i="53"/>
  <c r="C2557" i="53"/>
  <c r="C2558" i="53"/>
  <c r="C2559" i="53"/>
  <c r="C2560" i="53"/>
  <c r="C2561" i="53"/>
  <c r="C2562" i="53"/>
  <c r="C2563" i="53"/>
  <c r="C2564" i="53"/>
  <c r="C2565" i="53"/>
  <c r="C2566" i="53"/>
  <c r="C2567" i="53"/>
  <c r="C2568" i="53"/>
  <c r="C2569" i="53"/>
  <c r="C2570" i="53"/>
  <c r="C2571" i="53"/>
  <c r="C2572" i="53"/>
  <c r="C2573" i="53"/>
  <c r="C2574" i="53"/>
  <c r="C2575" i="53"/>
  <c r="C2576" i="53"/>
  <c r="C2577" i="53"/>
  <c r="C2578" i="53"/>
  <c r="C2579" i="53"/>
  <c r="C2580" i="53"/>
  <c r="C2581" i="53"/>
  <c r="C2582" i="53"/>
  <c r="C2583" i="53"/>
  <c r="C2584" i="53"/>
  <c r="C2585" i="53"/>
  <c r="C2586" i="53"/>
  <c r="C2587" i="53"/>
  <c r="C2588" i="53"/>
  <c r="C2589" i="53"/>
  <c r="C2590" i="53"/>
  <c r="C2591" i="53"/>
  <c r="C2592" i="53"/>
  <c r="C2593" i="53"/>
  <c r="C2594" i="53"/>
  <c r="C2595" i="53"/>
  <c r="C2596" i="53"/>
  <c r="C2597" i="53"/>
  <c r="C2598" i="53"/>
  <c r="C2599" i="53"/>
  <c r="C2600" i="53"/>
  <c r="C2601" i="53"/>
  <c r="C2602" i="53"/>
  <c r="C2603" i="53"/>
  <c r="C2604" i="53"/>
  <c r="C2605" i="53"/>
  <c r="C2606" i="53"/>
  <c r="C2607" i="53"/>
  <c r="C2608" i="53"/>
  <c r="C2609" i="53"/>
  <c r="C2610" i="53"/>
  <c r="C2611" i="53"/>
  <c r="C2612" i="53"/>
  <c r="C2613" i="53"/>
  <c r="C2614" i="53"/>
  <c r="C2615" i="53"/>
  <c r="C2616" i="53"/>
  <c r="C2617" i="53"/>
  <c r="C2618" i="53"/>
  <c r="C2619" i="53"/>
  <c r="C2620" i="53"/>
  <c r="C2621" i="53"/>
  <c r="C2622" i="53"/>
  <c r="C2623" i="53"/>
  <c r="C2624" i="53"/>
  <c r="C2625" i="53"/>
  <c r="C2626" i="53"/>
  <c r="C2627" i="53"/>
  <c r="C2628" i="53"/>
  <c r="C2629" i="53"/>
  <c r="C2630" i="53"/>
  <c r="C2631" i="53"/>
  <c r="C2632" i="53"/>
  <c r="C2633" i="53"/>
  <c r="C2634" i="53"/>
  <c r="C2635" i="53"/>
  <c r="C2636" i="53"/>
  <c r="C2637" i="53"/>
  <c r="C2638" i="53"/>
  <c r="C2639" i="53"/>
  <c r="C2640" i="53"/>
  <c r="C2641" i="53"/>
  <c r="C2642" i="53"/>
  <c r="C2643" i="53"/>
  <c r="C2644" i="53"/>
  <c r="C2645" i="53"/>
  <c r="C2646" i="53"/>
  <c r="C2647" i="53"/>
  <c r="C2648" i="53"/>
  <c r="C2649" i="53"/>
  <c r="C2650" i="53"/>
  <c r="C2651" i="53"/>
  <c r="C2652" i="53"/>
  <c r="C2653" i="53"/>
  <c r="C2654" i="53"/>
  <c r="C2655" i="53"/>
  <c r="C2656" i="53"/>
  <c r="C2657" i="53"/>
  <c r="C2658" i="53"/>
  <c r="C2659" i="53"/>
  <c r="C2660" i="53"/>
  <c r="C2661" i="53"/>
  <c r="C2662" i="53"/>
  <c r="C2663" i="53"/>
  <c r="C2664" i="53"/>
  <c r="C2665" i="53"/>
  <c r="C2666" i="53"/>
  <c r="C2667" i="53"/>
  <c r="C2668" i="53"/>
  <c r="C2669" i="53"/>
  <c r="C2670" i="53"/>
  <c r="C2671" i="53"/>
  <c r="C2672" i="53"/>
  <c r="C2673" i="53"/>
  <c r="C2674" i="53"/>
  <c r="C2675" i="53"/>
  <c r="C2676" i="53"/>
  <c r="C2677" i="53"/>
  <c r="C2678" i="53"/>
  <c r="C2679" i="53"/>
  <c r="C2680" i="53"/>
  <c r="C2681" i="53"/>
  <c r="C2682" i="53"/>
  <c r="C2683" i="53"/>
  <c r="C2684" i="53"/>
  <c r="C2685" i="53"/>
  <c r="C2686" i="53"/>
  <c r="C2687" i="53"/>
  <c r="C2688" i="53"/>
  <c r="C2689" i="53"/>
  <c r="C2690" i="53"/>
  <c r="C2691" i="53"/>
  <c r="C2692" i="53"/>
  <c r="C2693" i="53"/>
  <c r="C2694" i="53"/>
  <c r="C2695" i="53"/>
  <c r="C2696" i="53"/>
  <c r="C2697" i="53"/>
  <c r="C2698" i="53"/>
  <c r="C2699" i="53"/>
  <c r="C2700" i="53"/>
  <c r="C2701" i="53"/>
  <c r="C2702" i="53"/>
  <c r="C2703" i="53"/>
  <c r="C2704" i="53"/>
  <c r="C2705" i="53"/>
  <c r="C2706" i="53"/>
  <c r="C2707" i="53"/>
  <c r="C2708" i="53"/>
  <c r="C2709" i="53"/>
  <c r="C2710" i="53"/>
  <c r="C2711" i="53"/>
  <c r="C2712" i="53"/>
  <c r="C2713" i="53"/>
  <c r="C2714" i="53"/>
  <c r="C2715" i="53"/>
  <c r="C2716" i="53"/>
  <c r="C2717" i="53"/>
  <c r="C2718" i="53"/>
  <c r="C2719" i="53"/>
  <c r="C2720" i="53"/>
  <c r="C2721" i="53"/>
  <c r="C2722" i="53"/>
  <c r="C2723" i="53"/>
  <c r="C2724" i="53"/>
  <c r="C2725" i="53"/>
  <c r="C2726" i="53"/>
  <c r="C2727" i="53"/>
  <c r="C2728" i="53"/>
  <c r="C2729" i="53"/>
  <c r="C2730" i="53"/>
  <c r="C2731" i="53"/>
  <c r="C2732" i="53"/>
  <c r="C2733" i="53"/>
  <c r="C2734" i="53"/>
  <c r="C2735" i="53"/>
  <c r="C2736" i="53"/>
  <c r="C2737" i="53"/>
  <c r="C2738" i="53"/>
  <c r="C2739" i="53"/>
  <c r="C2740" i="53"/>
  <c r="C2741" i="53"/>
  <c r="C2742" i="53"/>
  <c r="C2743" i="53"/>
  <c r="C2744" i="53"/>
  <c r="C2745" i="53"/>
  <c r="C2746" i="53"/>
  <c r="C2747" i="53"/>
  <c r="C2748" i="53"/>
  <c r="C2749" i="53"/>
  <c r="C2750" i="53"/>
  <c r="C2751" i="53"/>
  <c r="C2752" i="53"/>
  <c r="C2753" i="53"/>
  <c r="C2754" i="53"/>
  <c r="C2755" i="53"/>
  <c r="C2756" i="53"/>
  <c r="C2757" i="53"/>
  <c r="C2758" i="53"/>
  <c r="C2759" i="53"/>
  <c r="C2760" i="53"/>
  <c r="C2761" i="53"/>
  <c r="C2762" i="53"/>
  <c r="C2763" i="53"/>
  <c r="C2764" i="53"/>
  <c r="C2765" i="53"/>
  <c r="C2766" i="53"/>
  <c r="C2767" i="53"/>
  <c r="C2768" i="53"/>
  <c r="C2769" i="53"/>
  <c r="C2770" i="53"/>
  <c r="C2771" i="53"/>
  <c r="C2772" i="53"/>
  <c r="C2773" i="53"/>
  <c r="C2774" i="53"/>
  <c r="C2775" i="53"/>
  <c r="C2776" i="53"/>
  <c r="C2777" i="53"/>
  <c r="C2778" i="53"/>
  <c r="C2779" i="53"/>
  <c r="C2780" i="53"/>
  <c r="C2781" i="53"/>
  <c r="C2782" i="53"/>
  <c r="C2783" i="53"/>
  <c r="C2784" i="53"/>
  <c r="C2785" i="53"/>
  <c r="C2786" i="53"/>
  <c r="C2787" i="53"/>
  <c r="C2788" i="53"/>
  <c r="C2789" i="53"/>
  <c r="C2790" i="53"/>
  <c r="C2791" i="53"/>
  <c r="C2792" i="53"/>
  <c r="C2793" i="53"/>
  <c r="C2794" i="53"/>
  <c r="C2795" i="53"/>
  <c r="C2796" i="53"/>
  <c r="C2797" i="53"/>
  <c r="C2798" i="53"/>
  <c r="C2799" i="53"/>
  <c r="C2800" i="53"/>
  <c r="C2801" i="53"/>
  <c r="C2802" i="53"/>
  <c r="C2803" i="53"/>
  <c r="C2804" i="53"/>
  <c r="C2805" i="53"/>
  <c r="C2806" i="53"/>
  <c r="C2807" i="53"/>
  <c r="C2808" i="53"/>
  <c r="C2809" i="53"/>
  <c r="C2810" i="53"/>
  <c r="C2811" i="53"/>
  <c r="C2812" i="53"/>
  <c r="C2813" i="53"/>
  <c r="C2814" i="53"/>
  <c r="C2815" i="53"/>
  <c r="C2816" i="53"/>
  <c r="C2817" i="53"/>
  <c r="C2818" i="53"/>
  <c r="C2819" i="53"/>
  <c r="C2820" i="53"/>
  <c r="C2821" i="53"/>
  <c r="C2822" i="53"/>
  <c r="C2823" i="53"/>
  <c r="C2824" i="53"/>
  <c r="C2825" i="53"/>
  <c r="C2826" i="53"/>
  <c r="C2827" i="53"/>
  <c r="C2828" i="53"/>
  <c r="C2829" i="53"/>
  <c r="C2830" i="53"/>
  <c r="C2831" i="53"/>
  <c r="C2832" i="53"/>
  <c r="C2833" i="53"/>
  <c r="C2834" i="53"/>
  <c r="C2835" i="53"/>
  <c r="C2836" i="53"/>
  <c r="C2837" i="53"/>
  <c r="C2838" i="53"/>
  <c r="C2839" i="53"/>
  <c r="C2840" i="53"/>
  <c r="C2841" i="53"/>
  <c r="C2842" i="53"/>
  <c r="C2843" i="53"/>
  <c r="C2844" i="53"/>
  <c r="C2845" i="53"/>
  <c r="C2846" i="53"/>
  <c r="C2847" i="53"/>
  <c r="C2848" i="53"/>
  <c r="C2849" i="53"/>
  <c r="C2850" i="53"/>
  <c r="C2851" i="53"/>
  <c r="C2852" i="53"/>
  <c r="C2853" i="53"/>
  <c r="C2854" i="53"/>
  <c r="C2855" i="53"/>
  <c r="C2856" i="53"/>
  <c r="C2857" i="53"/>
  <c r="C2858" i="53"/>
  <c r="C2859" i="53"/>
  <c r="C2860" i="53"/>
  <c r="C2861" i="53"/>
  <c r="C2862" i="53"/>
  <c r="C2863" i="53"/>
  <c r="C2864" i="53"/>
  <c r="C2865" i="53"/>
  <c r="C2866" i="53"/>
  <c r="C2867" i="53"/>
  <c r="C2868" i="53"/>
  <c r="C2869" i="53"/>
  <c r="C2870" i="53"/>
  <c r="C2871" i="53"/>
  <c r="C2872" i="53"/>
  <c r="C2873" i="53"/>
  <c r="C2874" i="53"/>
  <c r="C2875" i="53"/>
  <c r="C2876" i="53"/>
  <c r="C2877" i="53"/>
  <c r="C2878" i="53"/>
  <c r="C2879" i="53"/>
  <c r="C2880" i="53"/>
  <c r="C2881" i="53"/>
  <c r="C2882" i="53"/>
  <c r="C2883" i="53"/>
  <c r="C2884" i="53"/>
  <c r="C2885" i="53"/>
  <c r="C2886" i="53"/>
  <c r="C2887" i="53"/>
  <c r="C2888" i="53"/>
  <c r="C2889" i="53"/>
  <c r="C2890" i="53"/>
  <c r="C2891" i="53"/>
  <c r="C2892" i="53"/>
  <c r="C2893" i="53"/>
  <c r="C2894" i="53"/>
  <c r="C2895" i="53"/>
  <c r="C2896" i="53"/>
  <c r="C2897" i="53"/>
  <c r="C2898" i="53"/>
  <c r="C2899" i="53"/>
  <c r="C2900" i="53"/>
  <c r="C2901" i="53"/>
  <c r="C2902" i="53"/>
  <c r="C2903" i="53"/>
  <c r="C2904" i="53"/>
  <c r="C2905" i="53"/>
  <c r="C2906" i="53"/>
  <c r="C2907" i="53"/>
  <c r="C2908" i="53"/>
  <c r="C2909" i="53"/>
  <c r="C2910" i="53"/>
  <c r="C2911" i="53"/>
  <c r="C2912" i="53"/>
  <c r="C2913" i="53"/>
  <c r="C2914" i="53"/>
  <c r="C2915" i="53"/>
  <c r="C2916" i="53"/>
  <c r="C2917" i="53"/>
  <c r="C2918" i="53"/>
  <c r="C2919" i="53"/>
  <c r="C2920" i="53"/>
  <c r="C2921" i="53"/>
  <c r="C2922" i="53"/>
  <c r="C2923" i="53"/>
  <c r="C2924" i="53"/>
  <c r="C2925" i="53"/>
  <c r="C2926" i="53"/>
  <c r="C2927" i="53"/>
  <c r="C2928" i="53"/>
  <c r="C2929" i="53"/>
  <c r="C2930" i="53"/>
  <c r="C2931" i="53"/>
  <c r="C2932" i="53"/>
  <c r="C2933" i="53"/>
  <c r="C2934" i="53"/>
  <c r="C2935" i="53"/>
  <c r="C2936" i="53"/>
  <c r="C2937" i="53"/>
  <c r="C2938" i="53"/>
  <c r="C2939" i="53"/>
  <c r="C2940" i="53"/>
  <c r="C2941" i="53"/>
  <c r="C2942" i="53"/>
  <c r="C2943" i="53"/>
  <c r="C2944" i="53"/>
  <c r="C2945" i="53"/>
  <c r="C2946" i="53"/>
  <c r="C2947" i="53"/>
  <c r="C2948" i="53"/>
  <c r="C2949" i="53"/>
  <c r="C2950" i="53"/>
  <c r="C2951" i="53"/>
  <c r="C2952" i="53"/>
  <c r="C2953" i="53"/>
  <c r="C2954" i="53"/>
  <c r="C2955" i="53"/>
  <c r="C2956" i="53"/>
  <c r="C2957" i="53"/>
  <c r="C2958" i="53"/>
  <c r="C2959" i="53"/>
  <c r="C2960" i="53"/>
  <c r="C2961" i="53"/>
  <c r="C2962" i="53"/>
  <c r="C2963" i="53"/>
  <c r="C2964" i="53"/>
  <c r="C2965" i="53"/>
  <c r="C2966" i="53"/>
  <c r="C2967" i="53"/>
  <c r="C2968" i="53"/>
  <c r="C2969" i="53"/>
  <c r="C2970" i="53"/>
  <c r="C2971" i="53"/>
  <c r="C2972" i="53"/>
  <c r="C2973" i="53"/>
  <c r="C2974" i="53"/>
  <c r="C2975" i="53"/>
  <c r="C2976" i="53"/>
  <c r="C2977" i="53"/>
  <c r="C2978" i="53"/>
  <c r="C2979" i="53"/>
  <c r="C2980" i="53"/>
  <c r="C2981" i="53"/>
  <c r="C2982" i="53"/>
  <c r="C2983" i="53"/>
  <c r="C2984" i="53"/>
  <c r="C2985" i="53"/>
  <c r="C2986" i="53"/>
  <c r="C2987" i="53"/>
  <c r="C2988" i="53"/>
  <c r="C2989" i="53"/>
  <c r="C2990" i="53"/>
  <c r="C2991" i="53"/>
  <c r="C2992" i="53"/>
  <c r="C2993" i="53"/>
  <c r="C2994" i="53"/>
  <c r="C2995" i="53"/>
  <c r="C2996" i="53"/>
  <c r="C2997" i="53"/>
  <c r="C2998" i="53"/>
  <c r="C2999" i="53"/>
  <c r="C3000" i="53"/>
  <c r="C3001" i="53"/>
  <c r="C3002" i="53"/>
  <c r="C3003" i="53"/>
  <c r="C3004" i="53"/>
  <c r="C3005" i="53"/>
  <c r="C3006" i="53"/>
  <c r="C3007" i="53"/>
  <c r="C3008" i="53"/>
  <c r="C3009" i="53"/>
  <c r="C3010" i="53"/>
  <c r="C3011" i="53"/>
  <c r="C3012" i="53"/>
  <c r="C3013" i="53"/>
  <c r="C3014" i="53"/>
  <c r="C3015" i="53"/>
  <c r="C3016" i="53"/>
  <c r="C3017" i="53"/>
  <c r="C3018" i="53"/>
  <c r="C3019" i="53"/>
  <c r="C3020" i="53"/>
  <c r="C3021" i="53"/>
  <c r="C3022" i="53"/>
  <c r="C3023" i="53"/>
  <c r="C3024" i="53"/>
  <c r="C3025" i="53"/>
  <c r="C3026" i="53"/>
  <c r="C3027" i="53"/>
  <c r="C3028" i="53"/>
  <c r="C3029" i="53"/>
  <c r="C3030" i="53"/>
  <c r="C3031" i="53"/>
  <c r="C3032" i="53"/>
  <c r="C3033" i="53"/>
  <c r="C3034" i="53"/>
  <c r="C3035" i="53"/>
  <c r="C3036" i="53"/>
  <c r="C3037" i="53"/>
  <c r="C3038" i="53"/>
  <c r="C3039" i="53"/>
  <c r="C3040" i="53"/>
  <c r="C3041" i="53"/>
  <c r="C3042" i="53"/>
  <c r="C3043" i="53"/>
  <c r="C3044" i="53"/>
  <c r="C3045" i="53"/>
  <c r="C3046" i="53"/>
  <c r="C3047" i="53"/>
  <c r="C3048" i="53"/>
  <c r="C3049" i="53"/>
  <c r="C3050" i="53"/>
  <c r="C3051" i="53"/>
  <c r="C3052" i="53"/>
  <c r="C3053" i="53"/>
  <c r="C3054" i="53"/>
  <c r="C3055" i="53"/>
  <c r="C3056" i="53"/>
  <c r="C3057" i="53"/>
  <c r="C3058" i="53"/>
  <c r="C3059" i="53"/>
  <c r="C3060" i="53"/>
  <c r="C3061" i="53"/>
  <c r="C3062" i="53"/>
  <c r="C3063" i="53"/>
  <c r="C3064" i="53"/>
  <c r="C3065" i="53"/>
  <c r="C3066" i="53"/>
  <c r="C3067" i="53"/>
  <c r="C3068" i="53"/>
  <c r="C3069" i="53"/>
  <c r="C3070" i="53"/>
  <c r="C3071" i="53"/>
  <c r="C3072" i="53"/>
  <c r="C3073" i="53"/>
  <c r="C3074" i="53"/>
  <c r="C3075" i="53"/>
  <c r="C3076" i="53"/>
  <c r="C3077" i="53"/>
  <c r="C3078" i="53"/>
  <c r="C3079" i="53"/>
  <c r="C3080" i="53"/>
  <c r="C3081" i="53"/>
  <c r="C3082" i="53"/>
  <c r="C3083" i="53"/>
  <c r="C3084" i="53"/>
  <c r="C3085" i="53"/>
  <c r="C3086" i="53"/>
  <c r="C3087" i="53"/>
  <c r="C3088" i="53"/>
  <c r="C3089" i="53"/>
  <c r="C3090" i="53"/>
  <c r="C3091" i="53"/>
  <c r="C3092" i="53"/>
  <c r="C3093" i="53"/>
  <c r="C3094" i="53"/>
  <c r="C3095" i="53"/>
  <c r="C3096" i="53"/>
  <c r="C3097" i="53"/>
  <c r="C3098" i="53"/>
  <c r="C3099" i="53"/>
  <c r="C3100" i="53"/>
  <c r="C3101" i="53"/>
  <c r="C3102" i="53"/>
  <c r="C3103" i="53"/>
  <c r="C3104" i="53"/>
  <c r="C3105" i="53"/>
  <c r="C3106" i="53"/>
  <c r="C3107" i="53"/>
  <c r="C3108" i="53"/>
  <c r="C3109" i="53"/>
  <c r="C3110" i="53"/>
  <c r="C3111" i="53"/>
  <c r="C3112" i="53"/>
  <c r="C3113" i="53"/>
  <c r="C3114" i="53"/>
  <c r="C3115" i="53"/>
  <c r="C3116" i="53"/>
  <c r="C3117" i="53"/>
  <c r="C3118" i="53"/>
  <c r="C3119" i="53"/>
  <c r="C3120" i="53"/>
  <c r="C3121" i="53"/>
  <c r="C3122" i="53"/>
  <c r="C3123" i="53"/>
  <c r="C3124" i="53"/>
  <c r="C3125" i="53"/>
  <c r="C3126" i="53"/>
  <c r="C3127" i="53"/>
  <c r="C3128" i="53"/>
  <c r="C3129" i="53"/>
  <c r="C3130" i="53"/>
  <c r="C3131" i="53"/>
  <c r="C3132" i="53"/>
  <c r="C3133" i="53"/>
  <c r="C3134" i="53"/>
  <c r="C3135" i="53"/>
  <c r="C3136" i="53"/>
  <c r="C3137" i="53"/>
  <c r="C3138" i="53"/>
  <c r="C3139" i="53"/>
  <c r="C3140" i="53"/>
  <c r="C3141" i="53"/>
  <c r="C3142" i="53"/>
  <c r="C3143" i="53"/>
  <c r="C3144" i="53"/>
  <c r="C3145" i="53"/>
  <c r="C3146" i="53"/>
  <c r="C3147" i="53"/>
  <c r="C3148" i="53"/>
  <c r="C3149" i="53"/>
  <c r="C3150" i="53"/>
  <c r="C3151" i="53"/>
  <c r="C3152" i="53"/>
  <c r="C3153" i="53"/>
  <c r="C3154" i="53"/>
  <c r="C3155" i="53"/>
  <c r="C3156" i="53"/>
  <c r="C3157" i="53"/>
  <c r="C3158" i="53"/>
  <c r="C3159" i="53"/>
  <c r="C3160" i="53"/>
  <c r="C3161" i="53"/>
  <c r="C3162" i="53"/>
  <c r="C3163" i="53"/>
  <c r="C3164" i="53"/>
  <c r="C3165" i="53"/>
  <c r="C3166" i="53"/>
  <c r="C3167" i="53"/>
  <c r="C3168" i="53"/>
  <c r="C3169" i="53"/>
  <c r="C3170" i="53"/>
  <c r="C3171" i="53"/>
  <c r="C3172" i="53"/>
  <c r="C3173" i="53"/>
  <c r="C3174" i="53"/>
  <c r="C3175" i="53"/>
  <c r="C3176" i="53"/>
  <c r="C3177" i="53"/>
  <c r="C3178" i="53"/>
  <c r="C3179" i="53"/>
  <c r="C3180" i="53"/>
  <c r="C3181" i="53"/>
  <c r="C3182" i="53"/>
  <c r="C3183" i="53"/>
  <c r="C3184" i="53"/>
  <c r="C3185" i="53"/>
  <c r="C3186" i="53"/>
  <c r="C3187" i="53"/>
  <c r="C3188" i="53"/>
  <c r="C3189" i="53"/>
  <c r="C3190" i="53"/>
  <c r="C3191" i="53"/>
  <c r="C3192" i="53"/>
  <c r="C3193" i="53"/>
  <c r="C3194" i="53"/>
  <c r="C3195" i="53"/>
  <c r="C3196" i="53"/>
  <c r="C3197" i="53"/>
  <c r="C3198" i="53"/>
  <c r="C3199" i="53"/>
  <c r="C3200" i="53"/>
  <c r="C3201" i="53"/>
  <c r="C3202" i="53"/>
  <c r="C3203" i="53"/>
  <c r="C3204" i="53"/>
  <c r="C3205" i="53"/>
  <c r="C3206" i="53"/>
  <c r="C3207" i="53"/>
  <c r="C3208" i="53"/>
  <c r="C3209" i="53"/>
  <c r="C3210" i="53"/>
  <c r="C3211" i="53"/>
  <c r="C3212" i="53"/>
  <c r="C3213" i="53"/>
  <c r="C3214" i="53"/>
  <c r="C3215" i="53"/>
  <c r="C3216" i="53"/>
  <c r="C3217" i="53"/>
  <c r="C3218" i="53"/>
  <c r="C3219" i="53"/>
  <c r="C3220" i="53"/>
  <c r="C3221" i="53"/>
  <c r="C3222" i="53"/>
  <c r="C3223" i="53"/>
  <c r="C3224" i="53"/>
  <c r="C3225" i="53"/>
  <c r="C3226" i="53"/>
  <c r="C3227" i="53"/>
  <c r="C3228" i="53"/>
  <c r="C3229" i="53"/>
  <c r="C3230" i="53"/>
  <c r="C3231" i="53"/>
  <c r="C3232" i="53"/>
  <c r="C3233" i="53"/>
  <c r="C3234" i="53"/>
  <c r="C3235" i="53"/>
  <c r="C3236" i="53"/>
  <c r="C3237" i="53"/>
  <c r="C3238" i="53"/>
  <c r="C3239" i="53"/>
  <c r="C3240" i="53"/>
  <c r="C3241" i="53"/>
  <c r="C3242" i="53"/>
  <c r="C3243" i="53"/>
  <c r="C3244" i="53"/>
  <c r="C3245" i="53"/>
  <c r="C3246" i="53"/>
  <c r="C3247" i="53"/>
  <c r="C3248" i="53"/>
  <c r="C3249" i="53"/>
  <c r="C3250" i="53"/>
  <c r="C3251" i="53"/>
  <c r="C3252" i="53"/>
  <c r="C3253" i="53"/>
  <c r="C3254" i="53"/>
  <c r="C3255" i="53"/>
  <c r="C3256" i="53"/>
  <c r="C3257" i="53"/>
  <c r="C3258" i="53"/>
  <c r="C3259" i="53"/>
  <c r="C3260" i="53"/>
  <c r="C3261" i="53"/>
  <c r="C3262" i="53"/>
  <c r="C3263" i="53"/>
  <c r="C3264" i="53"/>
  <c r="C3265" i="53"/>
  <c r="C3266" i="53"/>
  <c r="C3267" i="53"/>
  <c r="C3268" i="53"/>
  <c r="C3269" i="53"/>
  <c r="C3270" i="53"/>
  <c r="C3271" i="53"/>
  <c r="C3272" i="53"/>
  <c r="C3273" i="53"/>
  <c r="C3274" i="53"/>
  <c r="C3275" i="53"/>
  <c r="C3276" i="53"/>
  <c r="C3277" i="53"/>
  <c r="C3278" i="53"/>
  <c r="C3279" i="53"/>
  <c r="C3280" i="53"/>
  <c r="C3281" i="53"/>
  <c r="C3282" i="53"/>
  <c r="C3283" i="53"/>
  <c r="C3284" i="53"/>
  <c r="C3285" i="53"/>
  <c r="C3286" i="53"/>
  <c r="C3287" i="53"/>
  <c r="C3288" i="53"/>
  <c r="C3289" i="53"/>
  <c r="C3290" i="53"/>
  <c r="C3291" i="53"/>
  <c r="C3292" i="53"/>
  <c r="C3293" i="53"/>
  <c r="C3294" i="53"/>
  <c r="C3295" i="53"/>
  <c r="C3296" i="53"/>
  <c r="C3297" i="53"/>
  <c r="C3298" i="53"/>
  <c r="C3299" i="53"/>
  <c r="C3300" i="53"/>
  <c r="C3301" i="53"/>
  <c r="C3302" i="53"/>
  <c r="C3303" i="53"/>
  <c r="C3304" i="53"/>
  <c r="C3305" i="53"/>
  <c r="C3306" i="53"/>
  <c r="C3307" i="53"/>
  <c r="C3308" i="53"/>
  <c r="C3309" i="53"/>
  <c r="C3310" i="53"/>
  <c r="C3311" i="53"/>
  <c r="C3312" i="53"/>
  <c r="C3313" i="53"/>
  <c r="C3314" i="53"/>
  <c r="C3315" i="53"/>
  <c r="C3316" i="53"/>
  <c r="C3317" i="53"/>
  <c r="C3318" i="53"/>
  <c r="C3319" i="53"/>
  <c r="C3320" i="53"/>
  <c r="C3321" i="53"/>
  <c r="C3322" i="53"/>
  <c r="C3323" i="53"/>
  <c r="C3324" i="53"/>
  <c r="C3325" i="53"/>
  <c r="C3326" i="53"/>
  <c r="C3327" i="53"/>
  <c r="C3328" i="53"/>
  <c r="C3329" i="53"/>
  <c r="C3330" i="53"/>
  <c r="C3331" i="53"/>
  <c r="C3332" i="53"/>
  <c r="C3333" i="53"/>
  <c r="C3334" i="53"/>
  <c r="C3335" i="53"/>
  <c r="C3336" i="53"/>
  <c r="C3337" i="53"/>
  <c r="C3338" i="53"/>
  <c r="C3339" i="53"/>
  <c r="C3340" i="53"/>
  <c r="C3341" i="53"/>
  <c r="C3342" i="53"/>
  <c r="C3343" i="53"/>
  <c r="C3344" i="53"/>
  <c r="C3345" i="53"/>
  <c r="C3346" i="53"/>
  <c r="C3347" i="53"/>
  <c r="C3348" i="53"/>
  <c r="C3349" i="53"/>
  <c r="C3350" i="53"/>
  <c r="C3351" i="53"/>
  <c r="C3352" i="53"/>
  <c r="C3353" i="53"/>
  <c r="C3354" i="53"/>
  <c r="C3355" i="53"/>
  <c r="C3356" i="53"/>
  <c r="C3357" i="53"/>
  <c r="C3358" i="53"/>
  <c r="C3359" i="53"/>
  <c r="C3360" i="53"/>
  <c r="C3361" i="53"/>
  <c r="C3362" i="53"/>
  <c r="C3363" i="53"/>
  <c r="C3364" i="53"/>
  <c r="C3365" i="53"/>
  <c r="C3366" i="53"/>
  <c r="C3367" i="53"/>
  <c r="C3368" i="53"/>
  <c r="C3369" i="53"/>
  <c r="C3370" i="53"/>
  <c r="C3371" i="53"/>
  <c r="C3372" i="53"/>
  <c r="C3373" i="53"/>
  <c r="C3374" i="53"/>
  <c r="C3375" i="53"/>
  <c r="C3376" i="53"/>
  <c r="C3377" i="53"/>
  <c r="C3378" i="53"/>
  <c r="C3379" i="53"/>
  <c r="C3380" i="53"/>
  <c r="C3381" i="53"/>
  <c r="C3382" i="53"/>
  <c r="C3383" i="53"/>
  <c r="C3384" i="53"/>
  <c r="C3385" i="53"/>
  <c r="C3386" i="53"/>
  <c r="C3387" i="53"/>
  <c r="C3388" i="53"/>
  <c r="C3389" i="53"/>
  <c r="C3390" i="53"/>
  <c r="C3391" i="53"/>
  <c r="C3392" i="53"/>
  <c r="C3393" i="53"/>
  <c r="C3394" i="53"/>
  <c r="C3395" i="53"/>
  <c r="C3396" i="53"/>
  <c r="C3397" i="53"/>
  <c r="C3398" i="53"/>
  <c r="C3399" i="53"/>
  <c r="C3400" i="53"/>
  <c r="C3401" i="53"/>
  <c r="C3402" i="53"/>
  <c r="C3403" i="53"/>
  <c r="C3404" i="53"/>
  <c r="C3405" i="53"/>
  <c r="C3406" i="53"/>
  <c r="C3407" i="53"/>
  <c r="C3408" i="53"/>
  <c r="C3409" i="53"/>
  <c r="C3410" i="53"/>
  <c r="C3411" i="53"/>
  <c r="C3412" i="53"/>
  <c r="C3413" i="53"/>
  <c r="C3414" i="53"/>
  <c r="C3415" i="53"/>
  <c r="C3416" i="53"/>
  <c r="C3417" i="53"/>
  <c r="C3418" i="53"/>
  <c r="C3419" i="53"/>
  <c r="C3420" i="53"/>
  <c r="C3421" i="53"/>
  <c r="C3422" i="53"/>
  <c r="C3423" i="53"/>
  <c r="C3424" i="53"/>
  <c r="C3425" i="53"/>
  <c r="C3426" i="53"/>
  <c r="C3427" i="53"/>
  <c r="C3428" i="53"/>
  <c r="C3429" i="53"/>
  <c r="C3430" i="53"/>
  <c r="C3431" i="53"/>
  <c r="C3432" i="53"/>
  <c r="C3433" i="53"/>
  <c r="C3434" i="53"/>
  <c r="C3435" i="53"/>
  <c r="C3436" i="53"/>
  <c r="C3437" i="53"/>
  <c r="C3438" i="53"/>
  <c r="C3439" i="53"/>
  <c r="C3440" i="53"/>
  <c r="C3441" i="53"/>
  <c r="C3442" i="53"/>
  <c r="C3443" i="53"/>
  <c r="C3444" i="53"/>
  <c r="C3445" i="53"/>
  <c r="C3446" i="53"/>
  <c r="C3447" i="53"/>
  <c r="C3448" i="53"/>
  <c r="C3449" i="53"/>
  <c r="C3450" i="53"/>
  <c r="C3451" i="53"/>
  <c r="C3452" i="53"/>
  <c r="C3453" i="53"/>
  <c r="C3454" i="53"/>
  <c r="C3455" i="53"/>
  <c r="C3456" i="53"/>
  <c r="C3457" i="53"/>
  <c r="C3458" i="53"/>
  <c r="C3459" i="53"/>
  <c r="C3460" i="53"/>
  <c r="C3461" i="53"/>
  <c r="C3462" i="53"/>
  <c r="C3463" i="53"/>
  <c r="C3464" i="53"/>
  <c r="C3465" i="53"/>
  <c r="C3466" i="53"/>
  <c r="C3467" i="53"/>
  <c r="C3468" i="53"/>
  <c r="C3469" i="53"/>
  <c r="C3470" i="53"/>
  <c r="C3471" i="53"/>
  <c r="C3472" i="53"/>
  <c r="C3473" i="53"/>
  <c r="C3474" i="53"/>
  <c r="C3475" i="53"/>
  <c r="C3476" i="53"/>
  <c r="C3477" i="53"/>
  <c r="C3478" i="53"/>
  <c r="C3479" i="53"/>
  <c r="C3480" i="53"/>
  <c r="C3481" i="53"/>
  <c r="C3482" i="53"/>
  <c r="C3483" i="53"/>
  <c r="C3484" i="53"/>
  <c r="C3485" i="53"/>
  <c r="C3486" i="53"/>
  <c r="C3487" i="53"/>
  <c r="C3488" i="53"/>
  <c r="C3489" i="53"/>
  <c r="C3490" i="53"/>
  <c r="C3491" i="53"/>
  <c r="C3492" i="53"/>
  <c r="C3493" i="53"/>
  <c r="C3494" i="53"/>
  <c r="C3495" i="53"/>
  <c r="C3496" i="53"/>
  <c r="C3497" i="53"/>
  <c r="C3498" i="53"/>
  <c r="C3499" i="53"/>
  <c r="C3500" i="53"/>
  <c r="C3501" i="53"/>
  <c r="C3502" i="53"/>
  <c r="C3503" i="53"/>
  <c r="C3504" i="53"/>
  <c r="C3505" i="53"/>
  <c r="C3506" i="53"/>
  <c r="C3507" i="53"/>
  <c r="C3508" i="53"/>
  <c r="C3509" i="53"/>
  <c r="C3510" i="53"/>
  <c r="C3511" i="53"/>
  <c r="C3512" i="53"/>
  <c r="C3513" i="53"/>
  <c r="C3514" i="53"/>
  <c r="C3515" i="53"/>
  <c r="C3516" i="53"/>
  <c r="C3517" i="53"/>
  <c r="C3518" i="53"/>
  <c r="C3519" i="53"/>
  <c r="C3520" i="53"/>
  <c r="C3521" i="53"/>
  <c r="C3522" i="53"/>
  <c r="C3523" i="53"/>
  <c r="C3524" i="53"/>
  <c r="C3525" i="53"/>
  <c r="C3526" i="53"/>
  <c r="C3527" i="53"/>
  <c r="C3528" i="53"/>
  <c r="C3529" i="53"/>
  <c r="C3530" i="53"/>
  <c r="C3531" i="53"/>
  <c r="C3532" i="53"/>
  <c r="C3533" i="53"/>
  <c r="C3534" i="53"/>
  <c r="C3535" i="53"/>
  <c r="C3536" i="53"/>
  <c r="C3537" i="53"/>
  <c r="C3538" i="53"/>
  <c r="C3539" i="53"/>
  <c r="C3540" i="53"/>
  <c r="C3541" i="53"/>
  <c r="C3542" i="53"/>
  <c r="C3543" i="53"/>
  <c r="C3544" i="53"/>
  <c r="C3545" i="53"/>
  <c r="C3546" i="53"/>
  <c r="C3547" i="53"/>
  <c r="C3548" i="53"/>
  <c r="C3549" i="53"/>
  <c r="C3550" i="53"/>
  <c r="C3551" i="53"/>
  <c r="C3552" i="53"/>
  <c r="C3553" i="53"/>
  <c r="C3554" i="53"/>
  <c r="C3555" i="53"/>
  <c r="C3556" i="53"/>
  <c r="C3557" i="53"/>
  <c r="C3558" i="53"/>
  <c r="C3559" i="53"/>
  <c r="C3560" i="53"/>
  <c r="C3561" i="53"/>
  <c r="C3562" i="53"/>
  <c r="C3563" i="53"/>
  <c r="C3564" i="53"/>
  <c r="C3565" i="53"/>
  <c r="C3566" i="53"/>
  <c r="C3567" i="53"/>
  <c r="C3568" i="53"/>
  <c r="C3569" i="53"/>
  <c r="C3570" i="53"/>
  <c r="C3571" i="53"/>
  <c r="C3572" i="53"/>
  <c r="C3573" i="53"/>
  <c r="C3574" i="53"/>
  <c r="C3575" i="53"/>
  <c r="C3576" i="53"/>
  <c r="C3577" i="53"/>
  <c r="C3578" i="53"/>
  <c r="C3579" i="53"/>
  <c r="C3580" i="53"/>
  <c r="C3581" i="53"/>
  <c r="C3582" i="53"/>
  <c r="C3583" i="53"/>
  <c r="C3584" i="53"/>
  <c r="C3585" i="53"/>
  <c r="C3586" i="53"/>
  <c r="C3587" i="53"/>
  <c r="C3588" i="53"/>
  <c r="C3589" i="53"/>
  <c r="C3590" i="53"/>
  <c r="C3591" i="53"/>
  <c r="C3592" i="53"/>
  <c r="C3593" i="53"/>
  <c r="C3594" i="53"/>
  <c r="C3595" i="53"/>
  <c r="C3596" i="53"/>
  <c r="C3597" i="53"/>
  <c r="C3598" i="53"/>
  <c r="C3599" i="53"/>
  <c r="C3600" i="53"/>
  <c r="C3601" i="53"/>
  <c r="C3602" i="53"/>
  <c r="C3603" i="53"/>
  <c r="C3604" i="53"/>
  <c r="C3605" i="53"/>
  <c r="C3606" i="53"/>
  <c r="C3607" i="53"/>
  <c r="C3608" i="53"/>
  <c r="C3609" i="53"/>
  <c r="C3610" i="53"/>
  <c r="C3611" i="53"/>
  <c r="C3612" i="53"/>
  <c r="C3613" i="53"/>
  <c r="C3614" i="53"/>
  <c r="C3615" i="53"/>
  <c r="C3616" i="53"/>
  <c r="C3617" i="53"/>
  <c r="C3618" i="53"/>
  <c r="C3619" i="53"/>
  <c r="C3620" i="53"/>
  <c r="C3621" i="53"/>
  <c r="C3622" i="53"/>
  <c r="C3623" i="53"/>
  <c r="C3624" i="53"/>
  <c r="C3625" i="53"/>
  <c r="C3626" i="53"/>
  <c r="C3627" i="53"/>
  <c r="C3628" i="53"/>
  <c r="C3629" i="53"/>
  <c r="C3630" i="53"/>
  <c r="C3631" i="53"/>
  <c r="C3632" i="53"/>
  <c r="C3633" i="53"/>
  <c r="C3634" i="53"/>
  <c r="C3635" i="53"/>
  <c r="C3636" i="53"/>
  <c r="C3637" i="53"/>
  <c r="C3638" i="53"/>
  <c r="C3639" i="53"/>
  <c r="C3640" i="53"/>
  <c r="C3641" i="53"/>
  <c r="C3642" i="53"/>
  <c r="C3643" i="53"/>
  <c r="C3644" i="53"/>
  <c r="C3645" i="53"/>
  <c r="C3646" i="53"/>
  <c r="C3647" i="53"/>
  <c r="C3648" i="53"/>
  <c r="C3649" i="53"/>
  <c r="C3650" i="53"/>
  <c r="C3651" i="53"/>
  <c r="C3652" i="53"/>
  <c r="C3653" i="53"/>
  <c r="C3654" i="53"/>
  <c r="C3655" i="53"/>
  <c r="C3656" i="53"/>
  <c r="C3657" i="53"/>
  <c r="C3658" i="53"/>
  <c r="C3659" i="53"/>
  <c r="C3660" i="53"/>
  <c r="C3661" i="53"/>
  <c r="C3662" i="53"/>
  <c r="C3663" i="53"/>
  <c r="C3664" i="53"/>
  <c r="C3665" i="53"/>
  <c r="C3666" i="53"/>
  <c r="C3667" i="53"/>
  <c r="C3668" i="53"/>
  <c r="C3669" i="53"/>
  <c r="C3670" i="53"/>
  <c r="C3671" i="53"/>
  <c r="C3672" i="53"/>
  <c r="C3673" i="53"/>
  <c r="C3674" i="53"/>
  <c r="C3675" i="53"/>
  <c r="C3676" i="53"/>
  <c r="C3677" i="53"/>
  <c r="C3678" i="53"/>
  <c r="C3679" i="53"/>
  <c r="C3680" i="53"/>
  <c r="C3681" i="53"/>
  <c r="C3682" i="53"/>
  <c r="C3683" i="53"/>
  <c r="C3684" i="53"/>
  <c r="C3685" i="53"/>
  <c r="C3686" i="53"/>
  <c r="C3687" i="53"/>
  <c r="C3688" i="53"/>
  <c r="C3689" i="53"/>
  <c r="C3690" i="53"/>
  <c r="C3691" i="53"/>
  <c r="C3692" i="53"/>
  <c r="C3693" i="53"/>
  <c r="C3694" i="53"/>
  <c r="C3695" i="53"/>
  <c r="C3696" i="53"/>
  <c r="C3697" i="53"/>
  <c r="C3698" i="53"/>
  <c r="C3699" i="53"/>
  <c r="C3700" i="53"/>
  <c r="C3701" i="53"/>
  <c r="C3702" i="53"/>
  <c r="C3703" i="53"/>
  <c r="C3704" i="53"/>
  <c r="C3705" i="53"/>
  <c r="C3706" i="53"/>
  <c r="C3707" i="53"/>
  <c r="C3708" i="53"/>
  <c r="C3709" i="53"/>
  <c r="C3710" i="53"/>
  <c r="C3711" i="53"/>
  <c r="C3712" i="53"/>
  <c r="C3713" i="53"/>
  <c r="C3714" i="53"/>
  <c r="C3715" i="53"/>
  <c r="C3716" i="53"/>
  <c r="C3717" i="53"/>
  <c r="C3718" i="53"/>
  <c r="C3719" i="53"/>
  <c r="C3720" i="53"/>
  <c r="C3721" i="53"/>
  <c r="C3722" i="53"/>
  <c r="C3723" i="53"/>
  <c r="C3724" i="53"/>
  <c r="C3725" i="53"/>
  <c r="C3726" i="53"/>
  <c r="C3727" i="53"/>
  <c r="C3728" i="53"/>
  <c r="C3729" i="53"/>
  <c r="C3730" i="53"/>
  <c r="C3731" i="53"/>
  <c r="C3732" i="53"/>
  <c r="C3733" i="53"/>
  <c r="C3734" i="53"/>
  <c r="C3735" i="53"/>
  <c r="C3736" i="53"/>
  <c r="C3737" i="53"/>
  <c r="C3738" i="53"/>
  <c r="C3739" i="53"/>
  <c r="C3740" i="53"/>
  <c r="C3741" i="53"/>
  <c r="C3742" i="53"/>
  <c r="C3743" i="53"/>
  <c r="C3744" i="53"/>
  <c r="C3745" i="53"/>
  <c r="C3746" i="53"/>
  <c r="C3747" i="53"/>
  <c r="C3748" i="53"/>
  <c r="C3749" i="53"/>
  <c r="C3750" i="53"/>
  <c r="C3751" i="53"/>
  <c r="C3752" i="53"/>
  <c r="C3753" i="53"/>
  <c r="C3754" i="53"/>
  <c r="C3755" i="53"/>
  <c r="C3756" i="53"/>
  <c r="C3757" i="53"/>
  <c r="C3758" i="53"/>
  <c r="C3759" i="53"/>
  <c r="C3760" i="53"/>
  <c r="C3761" i="53"/>
  <c r="C3762" i="53"/>
  <c r="C3763" i="53"/>
  <c r="C3764" i="53"/>
  <c r="C3765" i="53"/>
  <c r="C3766" i="53"/>
  <c r="C3767" i="53"/>
  <c r="C3768" i="53"/>
  <c r="C3769" i="53"/>
  <c r="C3770" i="53"/>
  <c r="C3771" i="53"/>
  <c r="C3772" i="53"/>
  <c r="C3773" i="53"/>
  <c r="C3774" i="53"/>
  <c r="C3775" i="53"/>
  <c r="C3776" i="53"/>
  <c r="C3777" i="53"/>
  <c r="C3778" i="53"/>
  <c r="C3779" i="53"/>
  <c r="C3780" i="53"/>
  <c r="C3781" i="53"/>
  <c r="C3782" i="53"/>
  <c r="C3783" i="53"/>
  <c r="C3784" i="53"/>
  <c r="C3785" i="53"/>
  <c r="C3786" i="53"/>
  <c r="C3787" i="53"/>
  <c r="C3788" i="53"/>
  <c r="C3789" i="53"/>
  <c r="C3790" i="53"/>
  <c r="C3791" i="53"/>
  <c r="C3792" i="53"/>
  <c r="C3793" i="53"/>
  <c r="C3794" i="53"/>
  <c r="C3795" i="53"/>
  <c r="C3796" i="53"/>
  <c r="C3797" i="53"/>
  <c r="C3798" i="53"/>
  <c r="C3799" i="53"/>
  <c r="C3800" i="53"/>
  <c r="C3801" i="53"/>
  <c r="C3802" i="53"/>
  <c r="C3803" i="53"/>
  <c r="C3804" i="53"/>
  <c r="C3805" i="53"/>
  <c r="C3806" i="53"/>
  <c r="C3807" i="53"/>
  <c r="C3808" i="53"/>
  <c r="C3809" i="53"/>
  <c r="C3810" i="53"/>
  <c r="C3811" i="53"/>
  <c r="C3812" i="53"/>
  <c r="C3813" i="53"/>
  <c r="C3814" i="53"/>
  <c r="C3815" i="53"/>
  <c r="C3816" i="53"/>
  <c r="C3817" i="53"/>
  <c r="C3818" i="53"/>
  <c r="C3819" i="53"/>
  <c r="C3820" i="53"/>
  <c r="C3821" i="53"/>
  <c r="C3822" i="53"/>
  <c r="C3823" i="53"/>
  <c r="C3824" i="53"/>
  <c r="C3825" i="53"/>
  <c r="C3826" i="53"/>
  <c r="C3827" i="53"/>
  <c r="C3828" i="53"/>
  <c r="C3829" i="53"/>
  <c r="C3830" i="53"/>
  <c r="C3831" i="53"/>
  <c r="C3832" i="53"/>
  <c r="C3833" i="53"/>
  <c r="C3834" i="53"/>
  <c r="C3835" i="53"/>
  <c r="C3836" i="53"/>
  <c r="C3837" i="53"/>
  <c r="C3838" i="53"/>
  <c r="C3839" i="53"/>
  <c r="C3840" i="53"/>
  <c r="C3841" i="53"/>
  <c r="C3842" i="53"/>
  <c r="C3843" i="53"/>
  <c r="C3844" i="53"/>
  <c r="C3845" i="53"/>
  <c r="C3846" i="53"/>
  <c r="C3847" i="53"/>
  <c r="C3848" i="53"/>
  <c r="C3849" i="53"/>
  <c r="C3850" i="53"/>
  <c r="C3851" i="53"/>
  <c r="C3852" i="53"/>
  <c r="C3853" i="53"/>
  <c r="C3854" i="53"/>
  <c r="C3855" i="53"/>
  <c r="C3856" i="53"/>
  <c r="C3857" i="53"/>
  <c r="C3858" i="53"/>
  <c r="C3859" i="53"/>
  <c r="C3860" i="53"/>
  <c r="C3861" i="53"/>
  <c r="C3862" i="53"/>
  <c r="C3863" i="53"/>
  <c r="C3864" i="53"/>
  <c r="C3865" i="53"/>
  <c r="C3866" i="53"/>
  <c r="C3867" i="53"/>
  <c r="C3868" i="53"/>
  <c r="C3869" i="53"/>
  <c r="C3870" i="53"/>
  <c r="C3871" i="53"/>
  <c r="C3872" i="53"/>
  <c r="C3873" i="53"/>
  <c r="C3874" i="53"/>
  <c r="C3875" i="53"/>
  <c r="C3876" i="53"/>
  <c r="C3877" i="53"/>
  <c r="C3878" i="53"/>
  <c r="C3879" i="53"/>
  <c r="C3880" i="53"/>
  <c r="C3881" i="53"/>
  <c r="C3882" i="53"/>
  <c r="C3883" i="53"/>
  <c r="C3884" i="53"/>
  <c r="C3885" i="53"/>
  <c r="C3886" i="53"/>
  <c r="C3887" i="53"/>
  <c r="C3888" i="53"/>
  <c r="C3889" i="53"/>
  <c r="C3890" i="53"/>
  <c r="C3891" i="53"/>
  <c r="C3892" i="53"/>
  <c r="C3893" i="53"/>
  <c r="C3894" i="53"/>
  <c r="C3895" i="53"/>
  <c r="C3896" i="53"/>
  <c r="C3897" i="53"/>
  <c r="C3898" i="53"/>
  <c r="C3899" i="53"/>
  <c r="C3900" i="53"/>
  <c r="C3901" i="53"/>
  <c r="C3902" i="53"/>
  <c r="C3903" i="53"/>
  <c r="C3904" i="53"/>
  <c r="C3905" i="53"/>
  <c r="C3906" i="53"/>
  <c r="C3907" i="53"/>
  <c r="C3908" i="53"/>
  <c r="C3909" i="53"/>
  <c r="C3910" i="53"/>
  <c r="C3911" i="53"/>
  <c r="C3912" i="53"/>
  <c r="C3913" i="53"/>
  <c r="C3914" i="53"/>
  <c r="C3915" i="53"/>
  <c r="C3916" i="53"/>
  <c r="C3917" i="53"/>
  <c r="C3918" i="53"/>
  <c r="C3919" i="53"/>
  <c r="C3920" i="53"/>
  <c r="C3921" i="53"/>
  <c r="C3922" i="53"/>
  <c r="C3923" i="53"/>
  <c r="C3924" i="53"/>
  <c r="C3925" i="53"/>
  <c r="C3926" i="53"/>
  <c r="C3927" i="53"/>
  <c r="C3928" i="53"/>
  <c r="C3929" i="53"/>
  <c r="C3930" i="53"/>
  <c r="C3931" i="53"/>
  <c r="C3932" i="53"/>
  <c r="C3933" i="53"/>
  <c r="C3934" i="53"/>
  <c r="C3935" i="53"/>
  <c r="C3936" i="53"/>
  <c r="C3937" i="53"/>
  <c r="C3938" i="53"/>
  <c r="C3939" i="53"/>
  <c r="C3940" i="53"/>
  <c r="C3941" i="53"/>
  <c r="C3942" i="53"/>
  <c r="C3943" i="53"/>
  <c r="C3944" i="53"/>
  <c r="C3945" i="53"/>
  <c r="C3946" i="53"/>
  <c r="C3947" i="53"/>
  <c r="C3948" i="53"/>
  <c r="C3949" i="53"/>
  <c r="C3950" i="53"/>
  <c r="C3951" i="53"/>
  <c r="C3952" i="53"/>
  <c r="C3953" i="53"/>
  <c r="C3954" i="53"/>
  <c r="C3955" i="53"/>
  <c r="C3956" i="53"/>
  <c r="C3957" i="53"/>
  <c r="C3958" i="53"/>
  <c r="C3959" i="53"/>
  <c r="C3960" i="53"/>
  <c r="C3961" i="53"/>
  <c r="C3962" i="53"/>
  <c r="C3963" i="53"/>
  <c r="C3964" i="53"/>
  <c r="C3965" i="53"/>
  <c r="C3966" i="53"/>
  <c r="C3967" i="53"/>
  <c r="C3968" i="53"/>
  <c r="C3969" i="53"/>
  <c r="C3970" i="53"/>
  <c r="C3971" i="53"/>
  <c r="C3972" i="53"/>
  <c r="C3973" i="53"/>
  <c r="C3974" i="53"/>
  <c r="C3975" i="53"/>
  <c r="C3976" i="53"/>
  <c r="C3977" i="53"/>
  <c r="C3978" i="53"/>
  <c r="C3979" i="53"/>
  <c r="C3980" i="53"/>
  <c r="C3981" i="53"/>
  <c r="C3982" i="53"/>
  <c r="C3983" i="53"/>
  <c r="C3984" i="53"/>
  <c r="C3985" i="53"/>
  <c r="C3986" i="53"/>
  <c r="C3987" i="53"/>
  <c r="C3988" i="53"/>
  <c r="C3989" i="53"/>
  <c r="C3990" i="53"/>
  <c r="C3991" i="53"/>
  <c r="C3992" i="53"/>
  <c r="C3993" i="53"/>
  <c r="C3994" i="53"/>
  <c r="C3995" i="53"/>
  <c r="C3996" i="53"/>
  <c r="C3997" i="53"/>
  <c r="C3998" i="53"/>
  <c r="C3999" i="53"/>
  <c r="C4000" i="53"/>
  <c r="C4001" i="53"/>
  <c r="C4002" i="53"/>
  <c r="C4003" i="53"/>
  <c r="C4004" i="53"/>
  <c r="C4005" i="53"/>
  <c r="C4006" i="53"/>
  <c r="C4007" i="53"/>
  <c r="C4008" i="53"/>
  <c r="C4009" i="53"/>
  <c r="C4010" i="53"/>
  <c r="C4011" i="53"/>
  <c r="C4012" i="53"/>
  <c r="C4013" i="53"/>
  <c r="C4014" i="53"/>
  <c r="C4015" i="53"/>
  <c r="C4016" i="53"/>
  <c r="C4017" i="53"/>
  <c r="C4018" i="53"/>
  <c r="C4019" i="53"/>
  <c r="C4020" i="53"/>
  <c r="C4021" i="53"/>
  <c r="C4022" i="53"/>
  <c r="C4023" i="53"/>
  <c r="C4024" i="53"/>
  <c r="C4025" i="53"/>
  <c r="C4026" i="53"/>
  <c r="C4027" i="53"/>
  <c r="C4028" i="53"/>
  <c r="C4029" i="53"/>
  <c r="C4030" i="53"/>
  <c r="C4031" i="53"/>
  <c r="C4032" i="53"/>
  <c r="C4033" i="53"/>
  <c r="C4034" i="53"/>
  <c r="C4035" i="53"/>
  <c r="C4036" i="53"/>
  <c r="C4037" i="53"/>
  <c r="C4038" i="53"/>
  <c r="C4039" i="53"/>
  <c r="C4040" i="53"/>
  <c r="C4041" i="53"/>
  <c r="C4042" i="53"/>
  <c r="C4043" i="53"/>
  <c r="C4044" i="53"/>
  <c r="C4045" i="53"/>
  <c r="C4046" i="53"/>
  <c r="C4047" i="53"/>
  <c r="C4048" i="53"/>
  <c r="C4049" i="53"/>
  <c r="C4050" i="53"/>
  <c r="C4051" i="53"/>
  <c r="C4052" i="53"/>
  <c r="C4053" i="53"/>
  <c r="C4054" i="53"/>
  <c r="C4055" i="53"/>
  <c r="C4056" i="53"/>
  <c r="C4057" i="53"/>
  <c r="C4058" i="53"/>
  <c r="C4059" i="53"/>
  <c r="C4060" i="53"/>
  <c r="C4061" i="53"/>
  <c r="C4062" i="53"/>
  <c r="C4063" i="53"/>
  <c r="C4064" i="53"/>
  <c r="C4065" i="53"/>
  <c r="C4066" i="53"/>
  <c r="C4067" i="53"/>
  <c r="C4068" i="53"/>
  <c r="C4069" i="53"/>
  <c r="C4070" i="53"/>
  <c r="C4071" i="53"/>
  <c r="C4072" i="53"/>
  <c r="C4073" i="53"/>
  <c r="C4074" i="53"/>
  <c r="C4075" i="53"/>
  <c r="C4076" i="53"/>
  <c r="C4077" i="53"/>
  <c r="C4078" i="53"/>
  <c r="C4079" i="53"/>
  <c r="C4080" i="53"/>
  <c r="C4081" i="53"/>
  <c r="C4082" i="53"/>
  <c r="C4083" i="53"/>
  <c r="C4084" i="53"/>
  <c r="C4085" i="53"/>
  <c r="C4086" i="53"/>
  <c r="C4087" i="53"/>
  <c r="C4088" i="53"/>
  <c r="C4089" i="53"/>
  <c r="C4090" i="53"/>
  <c r="C4091" i="53"/>
  <c r="C4092" i="53"/>
  <c r="C4093" i="53"/>
  <c r="C4094" i="53"/>
  <c r="C4095" i="53"/>
  <c r="C4096" i="53"/>
  <c r="C4097" i="53"/>
  <c r="C4098" i="53"/>
  <c r="C4099" i="53"/>
  <c r="C4100" i="53"/>
  <c r="C4101" i="53"/>
  <c r="C4102" i="53"/>
  <c r="C4103" i="53"/>
  <c r="C4104" i="53"/>
  <c r="C4105" i="53"/>
  <c r="C4106" i="53"/>
  <c r="C4107" i="53"/>
  <c r="C4108" i="53"/>
  <c r="C4109" i="53"/>
  <c r="C4110" i="53"/>
  <c r="C4111" i="53"/>
  <c r="C4112" i="53"/>
  <c r="C4113" i="53"/>
  <c r="C4114" i="53"/>
  <c r="C4115" i="53"/>
  <c r="C4116" i="53"/>
  <c r="C4117" i="53"/>
  <c r="C4118" i="53"/>
  <c r="C4119" i="53"/>
  <c r="C4120" i="53"/>
  <c r="C4121" i="53"/>
  <c r="C4122" i="53"/>
  <c r="C4123" i="53"/>
  <c r="C4124" i="53"/>
  <c r="C4125" i="53"/>
  <c r="C4126" i="53"/>
  <c r="C4127" i="53"/>
  <c r="C4128" i="53"/>
  <c r="C4129" i="53"/>
  <c r="C4130" i="53"/>
  <c r="C4131" i="53"/>
  <c r="C4132" i="53"/>
  <c r="C4133" i="53"/>
  <c r="C4134" i="53"/>
  <c r="C4135" i="53"/>
  <c r="C4136" i="53"/>
  <c r="C4137" i="53"/>
  <c r="C4138" i="53"/>
  <c r="C4139" i="53"/>
  <c r="C4140" i="53"/>
  <c r="C4141" i="53"/>
  <c r="C4142" i="53"/>
  <c r="C4143" i="53"/>
  <c r="C4144" i="53"/>
  <c r="C4145" i="53"/>
  <c r="C4146" i="53"/>
  <c r="C4147" i="53"/>
  <c r="C4148" i="53"/>
  <c r="C4149" i="53"/>
  <c r="C4150" i="53"/>
  <c r="C4151" i="53"/>
  <c r="C4152" i="53"/>
  <c r="C4153" i="53"/>
  <c r="C4154" i="53"/>
  <c r="C4155" i="53"/>
  <c r="C4156" i="53"/>
  <c r="C4157" i="53"/>
  <c r="C4158" i="53"/>
  <c r="C4159" i="53"/>
  <c r="C4160" i="53"/>
  <c r="C4161" i="53"/>
  <c r="C4162" i="53"/>
  <c r="C4163" i="53"/>
  <c r="C4164" i="53"/>
  <c r="C4165" i="53"/>
  <c r="C4166" i="53"/>
  <c r="C4167" i="53"/>
  <c r="C4168" i="53"/>
  <c r="C4169" i="53"/>
  <c r="C4170" i="53"/>
  <c r="C4171" i="53"/>
  <c r="C4172" i="53"/>
  <c r="C4173" i="53"/>
  <c r="C4174" i="53"/>
  <c r="C4175" i="53"/>
  <c r="C4176" i="53"/>
  <c r="C4177" i="53"/>
  <c r="C4178" i="53"/>
  <c r="C4179" i="53"/>
  <c r="C4180" i="53"/>
  <c r="C4181" i="53"/>
  <c r="C4182" i="53"/>
  <c r="C4183" i="53"/>
  <c r="C4184" i="53"/>
  <c r="C4185" i="53"/>
  <c r="C4186" i="53"/>
  <c r="C4187" i="53"/>
  <c r="C4188" i="53"/>
  <c r="C4189" i="53"/>
  <c r="C4190" i="53"/>
  <c r="C4191" i="53"/>
  <c r="C4192" i="53"/>
  <c r="C4193" i="53"/>
  <c r="C4194" i="53"/>
  <c r="C4195" i="53"/>
  <c r="C4196" i="53"/>
  <c r="C4197" i="53"/>
  <c r="C4198" i="53"/>
  <c r="C4199" i="53"/>
  <c r="C4200" i="53"/>
  <c r="C4201" i="53"/>
  <c r="C4202" i="53"/>
  <c r="C4203" i="53"/>
  <c r="C4204" i="53"/>
  <c r="C4205" i="53"/>
  <c r="C4206" i="53"/>
  <c r="C4207" i="53"/>
  <c r="C4208" i="53"/>
  <c r="C4209" i="53"/>
  <c r="C4210" i="53"/>
  <c r="C4211" i="53"/>
  <c r="C4212" i="53"/>
  <c r="C4213" i="53"/>
  <c r="C4214" i="53"/>
  <c r="C4215" i="53"/>
  <c r="C4216" i="53"/>
  <c r="C4217" i="53"/>
  <c r="C4218" i="53"/>
  <c r="C4219" i="53"/>
  <c r="C4220" i="53"/>
  <c r="C4221" i="53"/>
  <c r="C4222" i="53"/>
  <c r="C4223" i="53"/>
  <c r="C4224" i="53"/>
  <c r="C4225" i="53"/>
  <c r="C4226" i="53"/>
  <c r="C4227" i="53"/>
  <c r="C4228" i="53"/>
  <c r="C4229" i="53"/>
  <c r="C4230" i="53"/>
  <c r="C4231" i="53"/>
  <c r="C4232" i="53"/>
  <c r="C4233" i="53"/>
  <c r="C4234" i="53"/>
  <c r="C4235" i="53"/>
  <c r="C4236" i="53"/>
  <c r="C4237" i="53"/>
  <c r="C4238" i="53"/>
  <c r="C4239" i="53"/>
  <c r="C4240" i="53"/>
  <c r="C4241" i="53"/>
  <c r="C4242" i="53"/>
  <c r="C4243" i="53"/>
  <c r="C4244" i="53"/>
  <c r="C4245" i="53"/>
  <c r="C4246" i="53"/>
  <c r="C4247" i="53"/>
  <c r="C4248" i="53"/>
  <c r="C4249" i="53"/>
  <c r="C4250" i="53"/>
  <c r="C4251" i="53"/>
  <c r="C4252" i="53"/>
  <c r="C4253" i="53"/>
  <c r="C4254" i="53"/>
  <c r="C4255" i="53"/>
  <c r="C4256" i="53"/>
  <c r="C4257" i="53"/>
  <c r="C4258" i="53"/>
  <c r="C4259" i="53"/>
  <c r="C4260" i="53"/>
  <c r="C4261" i="53"/>
  <c r="C4262" i="53"/>
  <c r="C4263" i="53"/>
  <c r="C4264" i="53"/>
  <c r="C4265" i="53"/>
  <c r="C4266" i="53"/>
  <c r="C4267" i="53"/>
  <c r="C4268" i="53"/>
  <c r="C4269" i="53"/>
  <c r="C4270" i="53"/>
  <c r="C4271" i="53"/>
  <c r="C4272" i="53"/>
  <c r="C4273" i="53"/>
  <c r="C4274" i="53"/>
  <c r="C4275" i="53"/>
  <c r="C4276" i="53"/>
  <c r="C4277" i="53"/>
  <c r="C4278" i="53"/>
  <c r="C4279" i="53"/>
  <c r="C4280" i="53"/>
  <c r="C4281" i="53"/>
  <c r="C4282" i="53"/>
  <c r="C4283" i="53"/>
  <c r="C4284" i="53"/>
  <c r="C4285" i="53"/>
  <c r="C4286" i="53"/>
  <c r="C4287" i="53"/>
  <c r="C4288" i="53"/>
  <c r="C4289" i="53"/>
  <c r="C4290" i="53"/>
  <c r="C4291" i="53"/>
  <c r="C4292" i="53"/>
  <c r="C4293" i="53"/>
  <c r="C4294" i="53"/>
  <c r="C4295" i="53"/>
  <c r="C4296" i="53"/>
  <c r="C4297" i="53"/>
  <c r="C4298" i="53"/>
  <c r="C4299" i="53"/>
  <c r="C4300" i="53"/>
  <c r="C4301" i="53"/>
  <c r="C4302" i="53"/>
  <c r="C4303" i="53"/>
  <c r="C4304" i="53"/>
  <c r="C4305" i="53"/>
  <c r="C4306" i="53"/>
  <c r="C4307" i="53"/>
  <c r="C4308" i="53"/>
  <c r="C4309" i="53"/>
  <c r="C4310" i="53"/>
  <c r="C4311" i="53"/>
  <c r="C4312" i="53"/>
  <c r="C4313" i="53"/>
  <c r="C4314" i="53"/>
  <c r="C4315" i="53"/>
  <c r="C4316" i="53"/>
  <c r="C4317" i="53"/>
  <c r="C4318" i="53"/>
  <c r="C4319" i="53"/>
  <c r="C4320" i="53"/>
  <c r="C4321" i="53"/>
  <c r="C4322" i="53"/>
  <c r="C4323" i="53"/>
  <c r="C4324" i="53"/>
  <c r="C4325" i="53"/>
  <c r="C4326" i="53"/>
  <c r="C4327" i="53"/>
  <c r="C4328" i="53"/>
  <c r="C4329" i="53"/>
  <c r="C4330" i="53"/>
  <c r="C4331" i="53"/>
  <c r="C4332" i="53"/>
  <c r="C4333" i="53"/>
  <c r="C4334" i="53"/>
  <c r="C4335" i="53"/>
  <c r="C4336" i="53"/>
  <c r="C4337" i="53"/>
  <c r="C4338" i="53"/>
  <c r="C4339" i="53"/>
  <c r="C4340" i="53"/>
  <c r="C4341" i="53"/>
  <c r="C4342" i="53"/>
  <c r="C4343" i="53"/>
  <c r="C4344" i="53"/>
  <c r="C4345" i="53"/>
  <c r="C4346" i="53"/>
  <c r="C4347" i="53"/>
  <c r="C4348" i="53"/>
  <c r="C4349" i="53"/>
  <c r="C4350" i="53"/>
  <c r="C4351" i="53"/>
  <c r="C4352" i="53"/>
  <c r="C4353" i="53"/>
  <c r="C4354" i="53"/>
  <c r="C4355" i="53"/>
  <c r="C4356" i="53"/>
  <c r="C4357" i="53"/>
  <c r="C4358" i="53"/>
  <c r="C4359" i="53"/>
  <c r="C4360" i="53"/>
  <c r="C4361" i="53"/>
  <c r="C4362" i="53"/>
  <c r="C4363" i="53"/>
  <c r="C4364" i="53"/>
  <c r="C4365" i="53"/>
  <c r="C4366" i="53"/>
  <c r="C4367" i="53"/>
  <c r="C4368" i="53"/>
  <c r="C4369" i="53"/>
  <c r="C4370" i="53"/>
  <c r="C4371" i="53"/>
  <c r="C4372" i="53"/>
  <c r="C4373" i="53"/>
  <c r="C4374" i="53"/>
  <c r="C4375" i="53"/>
  <c r="C4376" i="53"/>
  <c r="C4377" i="53"/>
  <c r="C4378" i="53"/>
  <c r="C4379" i="53"/>
  <c r="C4380" i="53"/>
  <c r="C4381" i="53"/>
  <c r="C4382" i="53"/>
  <c r="C4383" i="53"/>
  <c r="C4384" i="53"/>
  <c r="C4385" i="53"/>
  <c r="C4386" i="53"/>
  <c r="C4387" i="53"/>
  <c r="C4388" i="53"/>
  <c r="C4389" i="53"/>
  <c r="C4390" i="53"/>
  <c r="C4391" i="53"/>
  <c r="C4392" i="53"/>
  <c r="C4393" i="53"/>
  <c r="C4394" i="53"/>
  <c r="C4395" i="53"/>
  <c r="C4396" i="53"/>
  <c r="C4397" i="53"/>
  <c r="C4398" i="53"/>
  <c r="C4399" i="53"/>
  <c r="C4400" i="53"/>
  <c r="C4401" i="53"/>
  <c r="C4402" i="53"/>
  <c r="C4403" i="53"/>
  <c r="C4404" i="53"/>
  <c r="C4405" i="53"/>
  <c r="C4406" i="53"/>
  <c r="C4407" i="53"/>
  <c r="C4408" i="53"/>
  <c r="C4409" i="53"/>
  <c r="C4410" i="53"/>
  <c r="C4411" i="53"/>
  <c r="C4412" i="53"/>
  <c r="C4413" i="53"/>
  <c r="C4414" i="53"/>
  <c r="C4415" i="53"/>
  <c r="C4416" i="53"/>
  <c r="C4417" i="53"/>
  <c r="C4418" i="53"/>
  <c r="C4419" i="53"/>
  <c r="C4420" i="53"/>
  <c r="C4421" i="53"/>
  <c r="C4422" i="53"/>
  <c r="C4423" i="53"/>
  <c r="C4424" i="53"/>
  <c r="C4425" i="53"/>
  <c r="C4426" i="53"/>
  <c r="C4427" i="53"/>
  <c r="C4428" i="53"/>
  <c r="C4429" i="53"/>
  <c r="C4430" i="53"/>
  <c r="C4431" i="53"/>
  <c r="C4432" i="53"/>
  <c r="C4433" i="53"/>
  <c r="C4434" i="53"/>
  <c r="C4435" i="53"/>
  <c r="C4436" i="53"/>
  <c r="C4437" i="53"/>
  <c r="C4438" i="53"/>
  <c r="C4439" i="53"/>
  <c r="C4440" i="53"/>
  <c r="C4441" i="53"/>
  <c r="C4442" i="53"/>
  <c r="C4443" i="53"/>
  <c r="C4444" i="53"/>
  <c r="C4445" i="53"/>
  <c r="C4446" i="53"/>
  <c r="C4447" i="53"/>
  <c r="C4448" i="53"/>
  <c r="C4449" i="53"/>
  <c r="C4450" i="53"/>
  <c r="C4451" i="53"/>
  <c r="C4452" i="53"/>
  <c r="C4453" i="53"/>
  <c r="C4454" i="53"/>
  <c r="C4455" i="53"/>
  <c r="C4456" i="53"/>
  <c r="C4457" i="53"/>
  <c r="C4458" i="53"/>
  <c r="C4459" i="53"/>
  <c r="C4460" i="53"/>
  <c r="C4461" i="53"/>
  <c r="C4462" i="53"/>
  <c r="C4463" i="53"/>
  <c r="C4464" i="53"/>
  <c r="C4465" i="53"/>
  <c r="C4466" i="53"/>
  <c r="C4467" i="53"/>
  <c r="C4468" i="53"/>
  <c r="C4469" i="53"/>
  <c r="C4470" i="53"/>
  <c r="C4471" i="53"/>
  <c r="C4472" i="53"/>
  <c r="C4473" i="53"/>
  <c r="C4474" i="53"/>
  <c r="C4475" i="53"/>
  <c r="C4476" i="53"/>
  <c r="C4477" i="53"/>
  <c r="C4478" i="53"/>
  <c r="C4479" i="53"/>
  <c r="C4480" i="53"/>
  <c r="C4481" i="53"/>
  <c r="C4482" i="53"/>
  <c r="C4483" i="53"/>
  <c r="C4484" i="53"/>
  <c r="C4485" i="53"/>
  <c r="C4486" i="53"/>
  <c r="C4487" i="53"/>
  <c r="C4488" i="53"/>
  <c r="C4489" i="53"/>
  <c r="C4490" i="53"/>
  <c r="C4491" i="53"/>
  <c r="C4492" i="53"/>
  <c r="C4493" i="53"/>
  <c r="C4494" i="53"/>
  <c r="C4495" i="53"/>
  <c r="C4496" i="53"/>
  <c r="C4497" i="53"/>
  <c r="C4498" i="53"/>
  <c r="C4499" i="53"/>
  <c r="C4500" i="53"/>
  <c r="C4501" i="53"/>
  <c r="C4502" i="53"/>
  <c r="C4503" i="53"/>
  <c r="C4504" i="53"/>
  <c r="C4505" i="53"/>
  <c r="C4506" i="53"/>
  <c r="C4507" i="53"/>
  <c r="C4508" i="53"/>
  <c r="C4509" i="53"/>
  <c r="C4510" i="53"/>
  <c r="C4511" i="53"/>
  <c r="C4512" i="53"/>
  <c r="C4513" i="53"/>
  <c r="C4514" i="53"/>
  <c r="C4515" i="53"/>
  <c r="C4516" i="53"/>
  <c r="C4517" i="53"/>
  <c r="C4518" i="53"/>
  <c r="C4519" i="53"/>
  <c r="C4520" i="53"/>
  <c r="C4521" i="53"/>
  <c r="C4522" i="53"/>
  <c r="C4523" i="53"/>
  <c r="C4524" i="53"/>
  <c r="C4525" i="53"/>
  <c r="C4526" i="53"/>
  <c r="C4527" i="53"/>
  <c r="C4528" i="53"/>
  <c r="C4529" i="53"/>
  <c r="C4530" i="53"/>
  <c r="C4531" i="53"/>
  <c r="C4532" i="53"/>
  <c r="C4533" i="53"/>
  <c r="C4534" i="53"/>
  <c r="C4535" i="53"/>
  <c r="C4536" i="53"/>
  <c r="C4537" i="53"/>
  <c r="C4538" i="53"/>
  <c r="C4539" i="53"/>
  <c r="C4540" i="53"/>
  <c r="C4541" i="53"/>
  <c r="C4542" i="53"/>
  <c r="C4543" i="53"/>
  <c r="C4544" i="53"/>
  <c r="C4545" i="53"/>
  <c r="C4546" i="53"/>
  <c r="C4547" i="53"/>
  <c r="C4548" i="53"/>
  <c r="C4549" i="53"/>
  <c r="C4550" i="53"/>
  <c r="C4551" i="53"/>
  <c r="C4552" i="53"/>
  <c r="C4553" i="53"/>
  <c r="C4554" i="53"/>
  <c r="C4555" i="53"/>
  <c r="C4556" i="53"/>
  <c r="C4557" i="53"/>
  <c r="C4558" i="53"/>
  <c r="C4559" i="53"/>
  <c r="C4560" i="53"/>
  <c r="C4561" i="53"/>
  <c r="C4562" i="53"/>
  <c r="C4563" i="53"/>
  <c r="C4564" i="53"/>
  <c r="C4565" i="53"/>
  <c r="C4566" i="53"/>
  <c r="C4567" i="53"/>
  <c r="C4568" i="53"/>
  <c r="C4569" i="53"/>
  <c r="C4570" i="53"/>
  <c r="C4571" i="53"/>
  <c r="C4572" i="53"/>
  <c r="C4573" i="53"/>
  <c r="C4574" i="53"/>
  <c r="C4575" i="53"/>
  <c r="C4576" i="53"/>
  <c r="C4577" i="53"/>
  <c r="C4578" i="53"/>
  <c r="C4579" i="53"/>
  <c r="C4580" i="53"/>
  <c r="C4581" i="53"/>
  <c r="C4582" i="53"/>
  <c r="C4583" i="53"/>
  <c r="C4584" i="53"/>
  <c r="C4585" i="53"/>
  <c r="C4586" i="53"/>
  <c r="C4587" i="53"/>
  <c r="C4588" i="53"/>
  <c r="C4589" i="53"/>
  <c r="C4590" i="53"/>
  <c r="C4591" i="53"/>
  <c r="C4592" i="53"/>
  <c r="C4593" i="53"/>
  <c r="C4594" i="53"/>
  <c r="C4595" i="53"/>
  <c r="C4596" i="53"/>
  <c r="C4597" i="53"/>
  <c r="C4598" i="53"/>
  <c r="C4599" i="53"/>
  <c r="C4600" i="53"/>
  <c r="C4601" i="53"/>
  <c r="C4602" i="53"/>
  <c r="C4603" i="53"/>
  <c r="C4604" i="53"/>
  <c r="C4605" i="53"/>
  <c r="C4606" i="53"/>
  <c r="C4607" i="53"/>
  <c r="C4608" i="53"/>
  <c r="C4609" i="53"/>
  <c r="C4610" i="53"/>
  <c r="C4611" i="53"/>
  <c r="C4612" i="53"/>
  <c r="C4613" i="53"/>
  <c r="C4614" i="53"/>
  <c r="C4615" i="53"/>
  <c r="C4616" i="53"/>
  <c r="C4617" i="53"/>
  <c r="C4618" i="53"/>
  <c r="C4619" i="53"/>
  <c r="C4620" i="53"/>
  <c r="C4621" i="53"/>
  <c r="C4622" i="53"/>
  <c r="C4623" i="53"/>
  <c r="C4624" i="53"/>
  <c r="C4625" i="53"/>
  <c r="C4626" i="53"/>
  <c r="C8" i="60"/>
  <c r="V9" i="60"/>
  <c r="V10" i="60"/>
  <c r="V14" i="60" s="1"/>
  <c r="V11" i="60"/>
  <c r="N15" i="60"/>
  <c r="O15" i="60"/>
  <c r="P15" i="60"/>
  <c r="Q15" i="60"/>
  <c r="R15" i="60"/>
  <c r="H8" i="45"/>
  <c r="I8" i="45" s="1"/>
  <c r="H9" i="45"/>
  <c r="I9" i="45" s="1"/>
  <c r="H10" i="45"/>
  <c r="I10" i="45" s="1"/>
  <c r="H11" i="45"/>
  <c r="I11" i="45" s="1"/>
  <c r="H12" i="45"/>
  <c r="I12" i="45" s="1"/>
  <c r="H13" i="45"/>
  <c r="I13" i="45" s="1"/>
  <c r="H14" i="45"/>
  <c r="I14" i="45" s="1"/>
  <c r="H15" i="45"/>
  <c r="I15" i="45" s="1"/>
  <c r="H16" i="45"/>
  <c r="I16" i="45" s="1"/>
  <c r="H17" i="45"/>
  <c r="I17" i="45" s="1"/>
  <c r="H18" i="45"/>
  <c r="I18" i="45" s="1"/>
  <c r="H19" i="45"/>
  <c r="I19" i="45" s="1"/>
  <c r="H20" i="45"/>
  <c r="I20" i="45" s="1"/>
  <c r="H21" i="45"/>
  <c r="I21" i="45" s="1"/>
  <c r="H22" i="45"/>
  <c r="I22" i="45" s="1"/>
  <c r="H23" i="45"/>
  <c r="I23" i="45" s="1"/>
  <c r="H24" i="45"/>
  <c r="I24" i="45" s="1"/>
  <c r="H25" i="45"/>
  <c r="I25" i="45" s="1"/>
  <c r="H26" i="45"/>
  <c r="I26" i="45" s="1"/>
  <c r="H27" i="45"/>
  <c r="I27" i="45" s="1"/>
  <c r="H28" i="45"/>
  <c r="I28" i="45" s="1"/>
  <c r="H29" i="45"/>
  <c r="I29" i="45" s="1"/>
  <c r="H30" i="45"/>
  <c r="I30" i="45" s="1"/>
  <c r="H31" i="45"/>
  <c r="I31" i="45" s="1"/>
  <c r="H32" i="45"/>
  <c r="I32" i="45" s="1"/>
  <c r="H33" i="45"/>
  <c r="I33" i="45" s="1"/>
  <c r="H34" i="45"/>
  <c r="I34" i="45" s="1"/>
  <c r="H35" i="45"/>
  <c r="I35" i="45" s="1"/>
  <c r="H36" i="45"/>
  <c r="I36" i="45" s="1"/>
  <c r="H37" i="45"/>
  <c r="I37" i="45" s="1"/>
  <c r="H38" i="45"/>
  <c r="I38" i="45" s="1"/>
  <c r="H39" i="45"/>
  <c r="I39" i="45" s="1"/>
  <c r="H40" i="45"/>
  <c r="I40" i="45" s="1"/>
  <c r="H41" i="45"/>
  <c r="I41" i="45" s="1"/>
  <c r="H42" i="45"/>
  <c r="I42" i="45" s="1"/>
  <c r="H43" i="45"/>
  <c r="I43" i="45" s="1"/>
  <c r="H44" i="45"/>
  <c r="I44" i="45" s="1"/>
  <c r="H45" i="45"/>
  <c r="I45" i="45" s="1"/>
  <c r="H46" i="45"/>
  <c r="I46" i="45" s="1"/>
  <c r="H47" i="45"/>
  <c r="I47" i="45" s="1"/>
  <c r="H48" i="45"/>
  <c r="I48" i="45" s="1"/>
  <c r="H49" i="45"/>
  <c r="I49" i="45" s="1"/>
  <c r="H50" i="45"/>
  <c r="I50" i="45" s="1"/>
  <c r="H51" i="45"/>
  <c r="I51" i="45" s="1"/>
  <c r="H52" i="45"/>
  <c r="I52" i="45" s="1"/>
  <c r="H53" i="45"/>
  <c r="I53" i="45" s="1"/>
  <c r="H54" i="45"/>
  <c r="I54" i="45" s="1"/>
  <c r="H55" i="45"/>
  <c r="I55" i="45" s="1"/>
  <c r="H56" i="45"/>
  <c r="I56" i="45" s="1"/>
  <c r="H57" i="45"/>
  <c r="I57" i="45" s="1"/>
  <c r="H58" i="45"/>
  <c r="I58" i="45" s="1"/>
  <c r="H59" i="45"/>
  <c r="I59" i="45" s="1"/>
  <c r="H60" i="45"/>
  <c r="I60" i="45" s="1"/>
  <c r="H61" i="45"/>
  <c r="I61" i="45" s="1"/>
  <c r="H62" i="45"/>
  <c r="I62" i="45" s="1"/>
  <c r="H63" i="45"/>
  <c r="I63" i="45" s="1"/>
  <c r="H64" i="45"/>
  <c r="I64" i="45" s="1"/>
  <c r="H65" i="45"/>
  <c r="I65" i="45" s="1"/>
  <c r="H7" i="45"/>
  <c r="I7" i="45" s="1"/>
  <c r="D8" i="45"/>
  <c r="D9" i="45"/>
  <c r="D10" i="45"/>
  <c r="D11" i="45"/>
  <c r="D12" i="45"/>
  <c r="D13" i="45"/>
  <c r="D14" i="45"/>
  <c r="D15" i="45"/>
  <c r="D16" i="45"/>
  <c r="D17" i="45"/>
  <c r="D18" i="45"/>
  <c r="D19" i="45"/>
  <c r="D20" i="45"/>
  <c r="D21" i="45"/>
  <c r="D22" i="45"/>
  <c r="D23" i="45"/>
  <c r="D24" i="45"/>
  <c r="D25" i="45"/>
  <c r="D26" i="45"/>
  <c r="D27" i="45"/>
  <c r="D28" i="45"/>
  <c r="D29" i="45"/>
  <c r="D30" i="45"/>
  <c r="D31" i="45"/>
  <c r="D32" i="45"/>
  <c r="D33" i="45"/>
  <c r="D34" i="45"/>
  <c r="D35" i="45"/>
  <c r="D36" i="45"/>
  <c r="D37" i="45"/>
  <c r="D38" i="45"/>
  <c r="D39" i="45"/>
  <c r="D40" i="45"/>
  <c r="D41" i="45"/>
  <c r="D42" i="45"/>
  <c r="D43" i="45"/>
  <c r="D44" i="45"/>
  <c r="D45" i="45"/>
  <c r="D46" i="45"/>
  <c r="D47" i="45"/>
  <c r="D48" i="45"/>
  <c r="D49" i="45"/>
  <c r="D50" i="45"/>
  <c r="D51" i="45"/>
  <c r="D52" i="45"/>
  <c r="D53" i="45"/>
  <c r="D54" i="45"/>
  <c r="D55" i="45"/>
  <c r="D56" i="45"/>
  <c r="D57" i="45"/>
  <c r="D58" i="45"/>
  <c r="D59" i="45"/>
  <c r="D60" i="45"/>
  <c r="D61" i="45"/>
  <c r="D62" i="45"/>
  <c r="D63" i="45"/>
  <c r="D64" i="45"/>
  <c r="D65" i="45"/>
  <c r="D7" i="45"/>
  <c r="AE14" i="35" l="1"/>
  <c r="C21" i="63" l="1"/>
  <c r="AH23" i="60" l="1"/>
  <c r="AI23" i="60" l="1"/>
  <c r="AI24" i="60" s="1"/>
  <c r="P9" i="60" l="1"/>
  <c r="AJ23" i="60"/>
  <c r="AK23" i="60"/>
  <c r="AK24" i="60" l="1"/>
  <c r="AJ24" i="60"/>
  <c r="Q9" i="60"/>
  <c r="AG7" i="53"/>
  <c r="AG6" i="53"/>
  <c r="AG5" i="53"/>
  <c r="AG4" i="53"/>
  <c r="C3" i="53"/>
  <c r="D38" i="39" l="1"/>
  <c r="D26" i="39" s="1"/>
  <c r="E38" i="39"/>
  <c r="F38" i="39"/>
  <c r="J30" i="37" l="1"/>
  <c r="M30" i="37"/>
  <c r="L30" i="37"/>
  <c r="K30" i="37"/>
  <c r="AL4" i="53"/>
  <c r="AL5" i="53"/>
  <c r="AL6" i="53"/>
  <c r="AL7" i="53"/>
  <c r="AL8" i="53"/>
  <c r="AL9" i="53"/>
  <c r="AL10" i="53"/>
  <c r="AL11" i="53"/>
  <c r="AL12" i="53"/>
  <c r="AL13" i="53"/>
  <c r="AL14" i="53"/>
  <c r="AL15" i="53"/>
  <c r="AL16" i="53"/>
  <c r="AL17" i="53"/>
  <c r="AL18" i="53"/>
  <c r="AL19" i="53"/>
  <c r="AL20" i="53"/>
  <c r="AL21" i="53"/>
  <c r="AL22" i="53"/>
  <c r="AL23" i="53"/>
  <c r="AL24" i="53"/>
  <c r="AL25" i="53"/>
  <c r="AL26" i="53"/>
  <c r="AL27" i="53"/>
  <c r="AL28" i="53"/>
  <c r="AL29" i="53"/>
  <c r="AL30" i="53"/>
  <c r="AL31" i="53"/>
  <c r="AL32" i="53"/>
  <c r="AL33" i="53"/>
  <c r="AL34" i="53"/>
  <c r="AL35" i="53"/>
  <c r="AL36" i="53"/>
  <c r="AL37" i="53"/>
  <c r="AL38" i="53"/>
  <c r="AL39" i="53"/>
  <c r="AL40" i="53"/>
  <c r="AL41" i="53"/>
  <c r="AL42" i="53"/>
  <c r="AL43" i="53"/>
  <c r="AL44" i="53"/>
  <c r="AL45" i="53"/>
  <c r="AL46" i="53"/>
  <c r="AL47" i="53"/>
  <c r="AL48" i="53"/>
  <c r="AL49" i="53"/>
  <c r="AL50" i="53"/>
  <c r="AL51" i="53"/>
  <c r="AL52" i="53"/>
  <c r="AL53" i="53"/>
  <c r="AL54" i="53"/>
  <c r="AL55" i="53"/>
  <c r="AL56" i="53"/>
  <c r="AL57" i="53"/>
  <c r="AL58" i="53"/>
  <c r="AL59" i="53"/>
  <c r="AL60" i="53"/>
  <c r="AL61" i="53"/>
  <c r="AL62" i="53"/>
  <c r="AL63" i="53"/>
  <c r="AL64" i="53"/>
  <c r="AL65" i="53"/>
  <c r="AL66" i="53"/>
  <c r="AL67" i="53"/>
  <c r="AL68" i="53"/>
  <c r="AL69" i="53"/>
  <c r="AL70" i="53"/>
  <c r="AL3" i="53"/>
  <c r="S70" i="53"/>
  <c r="R70" i="53"/>
  <c r="Q70" i="53"/>
  <c r="P70" i="53"/>
  <c r="O70" i="53"/>
  <c r="S69" i="53"/>
  <c r="R69" i="53"/>
  <c r="Q69" i="53"/>
  <c r="P69" i="53"/>
  <c r="O69" i="53"/>
  <c r="S68" i="53"/>
  <c r="R68" i="53"/>
  <c r="Q68" i="53"/>
  <c r="P68" i="53"/>
  <c r="O68" i="53"/>
  <c r="S67" i="53"/>
  <c r="R67" i="53"/>
  <c r="Q67" i="53"/>
  <c r="P67" i="53"/>
  <c r="O67" i="53"/>
  <c r="S66" i="53"/>
  <c r="R66" i="53"/>
  <c r="Q66" i="53"/>
  <c r="P66" i="53"/>
  <c r="O66" i="53"/>
  <c r="U66" i="53" s="1"/>
  <c r="S65" i="53"/>
  <c r="R65" i="53"/>
  <c r="Q65" i="53"/>
  <c r="P65" i="53"/>
  <c r="O65" i="53"/>
  <c r="S64" i="53"/>
  <c r="R64" i="53"/>
  <c r="Q64" i="53"/>
  <c r="P64" i="53"/>
  <c r="O64" i="53"/>
  <c r="S63" i="53"/>
  <c r="R63" i="53"/>
  <c r="Q63" i="53"/>
  <c r="P63" i="53"/>
  <c r="O63" i="53"/>
  <c r="S62" i="53"/>
  <c r="R62" i="53"/>
  <c r="Q62" i="53"/>
  <c r="P62" i="53"/>
  <c r="O62" i="53"/>
  <c r="S61" i="53"/>
  <c r="R61" i="53"/>
  <c r="Q61" i="53"/>
  <c r="P61" i="53"/>
  <c r="O61" i="53"/>
  <c r="S60" i="53"/>
  <c r="R60" i="53"/>
  <c r="Q60" i="53"/>
  <c r="P60" i="53"/>
  <c r="O60" i="53"/>
  <c r="S59" i="53"/>
  <c r="R59" i="53"/>
  <c r="Q59" i="53"/>
  <c r="P59" i="53"/>
  <c r="O59" i="53"/>
  <c r="S58" i="53"/>
  <c r="R58" i="53"/>
  <c r="Q58" i="53"/>
  <c r="P58" i="53"/>
  <c r="O58" i="53"/>
  <c r="S57" i="53"/>
  <c r="R57" i="53"/>
  <c r="Q57" i="53"/>
  <c r="P57" i="53"/>
  <c r="O57" i="53"/>
  <c r="S56" i="53"/>
  <c r="R56" i="53"/>
  <c r="Q56" i="53"/>
  <c r="P56" i="53"/>
  <c r="O56" i="53"/>
  <c r="S55" i="53"/>
  <c r="R55" i="53"/>
  <c r="Q55" i="53"/>
  <c r="P55" i="53"/>
  <c r="O55" i="53"/>
  <c r="S54" i="53"/>
  <c r="R54" i="53"/>
  <c r="Q54" i="53"/>
  <c r="P54" i="53"/>
  <c r="O54" i="53"/>
  <c r="S53" i="53"/>
  <c r="R53" i="53"/>
  <c r="Q53" i="53"/>
  <c r="P53" i="53"/>
  <c r="O53" i="53"/>
  <c r="S52" i="53"/>
  <c r="R52" i="53"/>
  <c r="Q52" i="53"/>
  <c r="P52" i="53"/>
  <c r="O52" i="53"/>
  <c r="S51" i="53"/>
  <c r="R51" i="53"/>
  <c r="Q51" i="53"/>
  <c r="P51" i="53"/>
  <c r="O51" i="53"/>
  <c r="S50" i="53"/>
  <c r="R50" i="53"/>
  <c r="Q50" i="53"/>
  <c r="P50" i="53"/>
  <c r="O50" i="53"/>
  <c r="S49" i="53"/>
  <c r="R49" i="53"/>
  <c r="Q49" i="53"/>
  <c r="P49" i="53"/>
  <c r="O49" i="53"/>
  <c r="S48" i="53"/>
  <c r="R48" i="53"/>
  <c r="Q48" i="53"/>
  <c r="P48" i="53"/>
  <c r="O48" i="53"/>
  <c r="S47" i="53"/>
  <c r="R47" i="53"/>
  <c r="Q47" i="53"/>
  <c r="P47" i="53"/>
  <c r="O47" i="53"/>
  <c r="S46" i="53"/>
  <c r="R46" i="53"/>
  <c r="Q46" i="53"/>
  <c r="P46" i="53"/>
  <c r="O46" i="53"/>
  <c r="S45" i="53"/>
  <c r="R45" i="53"/>
  <c r="Q45" i="53"/>
  <c r="P45" i="53"/>
  <c r="O45" i="53"/>
  <c r="S44" i="53"/>
  <c r="R44" i="53"/>
  <c r="Q44" i="53"/>
  <c r="P44" i="53"/>
  <c r="O44" i="53"/>
  <c r="S43" i="53"/>
  <c r="R43" i="53"/>
  <c r="Q43" i="53"/>
  <c r="P43" i="53"/>
  <c r="O43" i="53"/>
  <c r="S42" i="53"/>
  <c r="R42" i="53"/>
  <c r="Q42" i="53"/>
  <c r="P42" i="53"/>
  <c r="O42" i="53"/>
  <c r="S41" i="53"/>
  <c r="R41" i="53"/>
  <c r="Q41" i="53"/>
  <c r="P41" i="53"/>
  <c r="O41" i="53"/>
  <c r="S40" i="53"/>
  <c r="R40" i="53"/>
  <c r="Q40" i="53"/>
  <c r="P40" i="53"/>
  <c r="O40" i="53"/>
  <c r="S39" i="53"/>
  <c r="R39" i="53"/>
  <c r="Q39" i="53"/>
  <c r="P39" i="53"/>
  <c r="O39" i="53"/>
  <c r="S38" i="53"/>
  <c r="R38" i="53"/>
  <c r="Q38" i="53"/>
  <c r="P38" i="53"/>
  <c r="O38" i="53"/>
  <c r="S37" i="53"/>
  <c r="R37" i="53"/>
  <c r="Q37" i="53"/>
  <c r="P37" i="53"/>
  <c r="O37" i="53"/>
  <c r="S36" i="53"/>
  <c r="R36" i="53"/>
  <c r="Q36" i="53"/>
  <c r="P36" i="53"/>
  <c r="O36" i="53"/>
  <c r="S35" i="53"/>
  <c r="R35" i="53"/>
  <c r="Q35" i="53"/>
  <c r="P35" i="53"/>
  <c r="O35" i="53"/>
  <c r="S34" i="53"/>
  <c r="R34" i="53"/>
  <c r="Q34" i="53"/>
  <c r="P34" i="53"/>
  <c r="O34" i="53"/>
  <c r="S33" i="53"/>
  <c r="R33" i="53"/>
  <c r="Q33" i="53"/>
  <c r="P33" i="53"/>
  <c r="O33" i="53"/>
  <c r="S32" i="53"/>
  <c r="R32" i="53"/>
  <c r="Q32" i="53"/>
  <c r="P32" i="53"/>
  <c r="O32" i="53"/>
  <c r="S31" i="53"/>
  <c r="R31" i="53"/>
  <c r="Q31" i="53"/>
  <c r="P31" i="53"/>
  <c r="O31" i="53"/>
  <c r="S30" i="53"/>
  <c r="R30" i="53"/>
  <c r="Q30" i="53"/>
  <c r="P30" i="53"/>
  <c r="O30" i="53"/>
  <c r="S29" i="53"/>
  <c r="R29" i="53"/>
  <c r="Q29" i="53"/>
  <c r="P29" i="53"/>
  <c r="O29" i="53"/>
  <c r="S28" i="53"/>
  <c r="R28" i="53"/>
  <c r="Q28" i="53"/>
  <c r="P28" i="53"/>
  <c r="O28" i="53"/>
  <c r="S27" i="53"/>
  <c r="R27" i="53"/>
  <c r="Q27" i="53"/>
  <c r="P27" i="53"/>
  <c r="O27" i="53"/>
  <c r="S26" i="53"/>
  <c r="R26" i="53"/>
  <c r="Q26" i="53"/>
  <c r="P26" i="53"/>
  <c r="O26" i="53"/>
  <c r="S25" i="53"/>
  <c r="R25" i="53"/>
  <c r="Q25" i="53"/>
  <c r="P25" i="53"/>
  <c r="O25" i="53"/>
  <c r="S24" i="53"/>
  <c r="R24" i="53"/>
  <c r="Q24" i="53"/>
  <c r="P24" i="53"/>
  <c r="O24" i="53"/>
  <c r="S23" i="53"/>
  <c r="R23" i="53"/>
  <c r="Q23" i="53"/>
  <c r="P23" i="53"/>
  <c r="O23" i="53"/>
  <c r="S22" i="53"/>
  <c r="R22" i="53"/>
  <c r="Q22" i="53"/>
  <c r="P22" i="53"/>
  <c r="O22" i="53"/>
  <c r="S21" i="53"/>
  <c r="R21" i="53"/>
  <c r="Q21" i="53"/>
  <c r="P21" i="53"/>
  <c r="O21" i="53"/>
  <c r="S20" i="53"/>
  <c r="R20" i="53"/>
  <c r="Q20" i="53"/>
  <c r="P20" i="53"/>
  <c r="O20" i="53"/>
  <c r="S19" i="53"/>
  <c r="R19" i="53"/>
  <c r="Q19" i="53"/>
  <c r="P19" i="53"/>
  <c r="O19" i="53"/>
  <c r="S18" i="53"/>
  <c r="R18" i="53"/>
  <c r="Q18" i="53"/>
  <c r="P18" i="53"/>
  <c r="O18" i="53"/>
  <c r="S17" i="53"/>
  <c r="R17" i="53"/>
  <c r="Q17" i="53"/>
  <c r="P17" i="53"/>
  <c r="O17" i="53"/>
  <c r="S16" i="53"/>
  <c r="R16" i="53"/>
  <c r="Q16" i="53"/>
  <c r="P16" i="53"/>
  <c r="O16" i="53"/>
  <c r="S15" i="53"/>
  <c r="R15" i="53"/>
  <c r="Q15" i="53"/>
  <c r="P15" i="53"/>
  <c r="O15" i="53"/>
  <c r="S14" i="53"/>
  <c r="R14" i="53"/>
  <c r="Q14" i="53"/>
  <c r="P14" i="53"/>
  <c r="O14" i="53"/>
  <c r="S13" i="53"/>
  <c r="R13" i="53"/>
  <c r="Q13" i="53"/>
  <c r="P13" i="53"/>
  <c r="O13" i="53"/>
  <c r="S12" i="53"/>
  <c r="R12" i="53"/>
  <c r="Q12" i="53"/>
  <c r="P12" i="53"/>
  <c r="O12" i="53"/>
  <c r="S11" i="53"/>
  <c r="R11" i="53"/>
  <c r="Q11" i="53"/>
  <c r="P11" i="53"/>
  <c r="O11" i="53"/>
  <c r="S10" i="53"/>
  <c r="R10" i="53"/>
  <c r="Q10" i="53"/>
  <c r="P10" i="53"/>
  <c r="O10" i="53"/>
  <c r="S9" i="53"/>
  <c r="R9" i="53"/>
  <c r="Q9" i="53"/>
  <c r="P9" i="53"/>
  <c r="O9" i="53"/>
  <c r="S8" i="53"/>
  <c r="R8" i="53"/>
  <c r="Q8" i="53"/>
  <c r="P8" i="53"/>
  <c r="O8" i="53"/>
  <c r="S7" i="53"/>
  <c r="P7" i="53"/>
  <c r="O7" i="53"/>
  <c r="S6" i="53"/>
  <c r="R6" i="53"/>
  <c r="Q6" i="53"/>
  <c r="P6" i="53"/>
  <c r="O6" i="53"/>
  <c r="S5" i="53"/>
  <c r="R5" i="53"/>
  <c r="Q5" i="53"/>
  <c r="P5" i="53"/>
  <c r="O5" i="53"/>
  <c r="S4" i="53"/>
  <c r="R4" i="53"/>
  <c r="Q4" i="53"/>
  <c r="P4" i="53"/>
  <c r="R3" i="53"/>
  <c r="Q3" i="53"/>
  <c r="P3" i="53"/>
  <c r="K4626" i="53"/>
  <c r="K4625" i="53"/>
  <c r="K4624" i="53"/>
  <c r="K4623" i="53"/>
  <c r="K4622" i="53"/>
  <c r="K4621" i="53"/>
  <c r="K4620" i="53"/>
  <c r="K4619" i="53"/>
  <c r="K4618" i="53"/>
  <c r="K4617" i="53"/>
  <c r="K4616" i="53"/>
  <c r="K4615" i="53"/>
  <c r="K4614" i="53"/>
  <c r="K4613" i="53"/>
  <c r="K4612" i="53"/>
  <c r="K4611" i="53"/>
  <c r="K4610" i="53"/>
  <c r="K4609" i="53"/>
  <c r="K4608" i="53"/>
  <c r="K4607" i="53"/>
  <c r="K4606" i="53"/>
  <c r="K4605" i="53"/>
  <c r="K4604" i="53"/>
  <c r="K4603" i="53"/>
  <c r="K4602" i="53"/>
  <c r="K4601" i="53"/>
  <c r="K4600" i="53"/>
  <c r="K4599" i="53"/>
  <c r="K4598" i="53"/>
  <c r="K4597" i="53"/>
  <c r="K4596" i="53"/>
  <c r="K4595" i="53"/>
  <c r="K4594" i="53"/>
  <c r="K4593" i="53"/>
  <c r="K4592" i="53"/>
  <c r="K4591" i="53"/>
  <c r="K4590" i="53"/>
  <c r="K4589" i="53"/>
  <c r="K4588" i="53"/>
  <c r="K4587" i="53"/>
  <c r="K4586" i="53"/>
  <c r="K4585" i="53"/>
  <c r="K4584" i="53"/>
  <c r="K4583" i="53"/>
  <c r="K4582" i="53"/>
  <c r="K4581" i="53"/>
  <c r="K4580" i="53"/>
  <c r="K4579" i="53"/>
  <c r="K4578" i="53"/>
  <c r="K4577" i="53"/>
  <c r="K4576" i="53"/>
  <c r="K4575" i="53"/>
  <c r="K4574" i="53"/>
  <c r="K4573" i="53"/>
  <c r="K4572" i="53"/>
  <c r="K4571" i="53"/>
  <c r="K4570" i="53"/>
  <c r="K4569" i="53"/>
  <c r="K4568" i="53"/>
  <c r="K4567" i="53"/>
  <c r="K4566" i="53"/>
  <c r="K4565" i="53"/>
  <c r="K4564" i="53"/>
  <c r="K4563" i="53"/>
  <c r="K4562" i="53"/>
  <c r="K4561" i="53"/>
  <c r="K4560" i="53"/>
  <c r="K4559" i="53"/>
  <c r="K4558" i="53"/>
  <c r="K4557" i="53"/>
  <c r="K4556" i="53"/>
  <c r="K4555" i="53"/>
  <c r="K4554" i="53"/>
  <c r="K4553" i="53"/>
  <c r="K4552" i="53"/>
  <c r="K4551" i="53"/>
  <c r="K4550" i="53"/>
  <c r="K4549" i="53"/>
  <c r="K4548" i="53"/>
  <c r="K4547" i="53"/>
  <c r="K4546" i="53"/>
  <c r="K4545" i="53"/>
  <c r="K4544" i="53"/>
  <c r="K4543" i="53"/>
  <c r="K4542" i="53"/>
  <c r="K4541" i="53"/>
  <c r="K4540" i="53"/>
  <c r="K4539" i="53"/>
  <c r="K4538" i="53"/>
  <c r="K4537" i="53"/>
  <c r="K4536" i="53"/>
  <c r="K4535" i="53"/>
  <c r="K4534" i="53"/>
  <c r="K4533" i="53"/>
  <c r="K4532" i="53"/>
  <c r="K4531" i="53"/>
  <c r="K4530" i="53"/>
  <c r="K4529" i="53"/>
  <c r="K4528" i="53"/>
  <c r="K4527" i="53"/>
  <c r="K4526" i="53"/>
  <c r="K4525" i="53"/>
  <c r="K4524" i="53"/>
  <c r="K4523" i="53"/>
  <c r="K4522" i="53"/>
  <c r="K4521" i="53"/>
  <c r="K4520" i="53"/>
  <c r="K4519" i="53"/>
  <c r="K4518" i="53"/>
  <c r="K4517" i="53"/>
  <c r="K4516" i="53"/>
  <c r="K4515" i="53"/>
  <c r="K4514" i="53"/>
  <c r="K4513" i="53"/>
  <c r="K4512" i="53"/>
  <c r="K4511" i="53"/>
  <c r="K4510" i="53"/>
  <c r="K4509" i="53"/>
  <c r="K4508" i="53"/>
  <c r="K4507" i="53"/>
  <c r="K4506" i="53"/>
  <c r="K4505" i="53"/>
  <c r="K4504" i="53"/>
  <c r="K4503" i="53"/>
  <c r="K4502" i="53"/>
  <c r="K4501" i="53"/>
  <c r="K4500" i="53"/>
  <c r="K4499" i="53"/>
  <c r="K4498" i="53"/>
  <c r="K4497" i="53"/>
  <c r="K4496" i="53"/>
  <c r="K4495" i="53"/>
  <c r="K4494" i="53"/>
  <c r="K4493" i="53"/>
  <c r="K4492" i="53"/>
  <c r="K4491" i="53"/>
  <c r="K4490" i="53"/>
  <c r="K4489" i="53"/>
  <c r="K4488" i="53"/>
  <c r="K4487" i="53"/>
  <c r="K4486" i="53"/>
  <c r="K4485" i="53"/>
  <c r="K4484" i="53"/>
  <c r="K4483" i="53"/>
  <c r="K4482" i="53"/>
  <c r="K4481" i="53"/>
  <c r="K4480" i="53"/>
  <c r="K4479" i="53"/>
  <c r="K4478" i="53"/>
  <c r="K4477" i="53"/>
  <c r="K4476" i="53"/>
  <c r="K4475" i="53"/>
  <c r="K4474" i="53"/>
  <c r="K4473" i="53"/>
  <c r="K4472" i="53"/>
  <c r="K4471" i="53"/>
  <c r="K4470" i="53"/>
  <c r="K4469" i="53"/>
  <c r="K4468" i="53"/>
  <c r="K4467" i="53"/>
  <c r="K4466" i="53"/>
  <c r="K4465" i="53"/>
  <c r="K4464" i="53"/>
  <c r="K4463" i="53"/>
  <c r="K4462" i="53"/>
  <c r="K4461" i="53"/>
  <c r="K4460" i="53"/>
  <c r="K4459" i="53"/>
  <c r="K4458" i="53"/>
  <c r="K4457" i="53"/>
  <c r="K4456" i="53"/>
  <c r="K4455" i="53"/>
  <c r="K4454" i="53"/>
  <c r="K4453" i="53"/>
  <c r="K4452" i="53"/>
  <c r="K4451" i="53"/>
  <c r="K4450" i="53"/>
  <c r="K4449" i="53"/>
  <c r="K4448" i="53"/>
  <c r="K4447" i="53"/>
  <c r="K4446" i="53"/>
  <c r="K4445" i="53"/>
  <c r="K4444" i="53"/>
  <c r="K4443" i="53"/>
  <c r="K4442" i="53"/>
  <c r="K4441" i="53"/>
  <c r="K4440" i="53"/>
  <c r="K4439" i="53"/>
  <c r="K4438" i="53"/>
  <c r="K4437" i="53"/>
  <c r="K4436" i="53"/>
  <c r="K4435" i="53"/>
  <c r="K4434" i="53"/>
  <c r="K4433" i="53"/>
  <c r="K4432" i="53"/>
  <c r="K4431" i="53"/>
  <c r="K4430" i="53"/>
  <c r="K4429" i="53"/>
  <c r="K4428" i="53"/>
  <c r="K4427" i="53"/>
  <c r="K4426" i="53"/>
  <c r="K4425" i="53"/>
  <c r="K4424" i="53"/>
  <c r="K4423" i="53"/>
  <c r="K4422" i="53"/>
  <c r="K4421" i="53"/>
  <c r="K4420" i="53"/>
  <c r="K4419" i="53"/>
  <c r="K4418" i="53"/>
  <c r="K4417" i="53"/>
  <c r="K4416" i="53"/>
  <c r="K4415" i="53"/>
  <c r="K4414" i="53"/>
  <c r="K4413" i="53"/>
  <c r="K4412" i="53"/>
  <c r="K4411" i="53"/>
  <c r="K4410" i="53"/>
  <c r="K4409" i="53"/>
  <c r="K4408" i="53"/>
  <c r="K4407" i="53"/>
  <c r="K4406" i="53"/>
  <c r="K4405" i="53"/>
  <c r="K4404" i="53"/>
  <c r="K4403" i="53"/>
  <c r="K4402" i="53"/>
  <c r="K4401" i="53"/>
  <c r="K4400" i="53"/>
  <c r="K4399" i="53"/>
  <c r="K4398" i="53"/>
  <c r="K4397" i="53"/>
  <c r="K4396" i="53"/>
  <c r="K4395" i="53"/>
  <c r="K4394" i="53"/>
  <c r="K4393" i="53"/>
  <c r="K4392" i="53"/>
  <c r="K4391" i="53"/>
  <c r="K4390" i="53"/>
  <c r="K4389" i="53"/>
  <c r="K4388" i="53"/>
  <c r="K4387" i="53"/>
  <c r="K4386" i="53"/>
  <c r="K4385" i="53"/>
  <c r="K4384" i="53"/>
  <c r="K4383" i="53"/>
  <c r="K4382" i="53"/>
  <c r="K4381" i="53"/>
  <c r="K4380" i="53"/>
  <c r="K4379" i="53"/>
  <c r="K4378" i="53"/>
  <c r="K4377" i="53"/>
  <c r="K4376" i="53"/>
  <c r="K4375" i="53"/>
  <c r="K4374" i="53"/>
  <c r="K4373" i="53"/>
  <c r="K4372" i="53"/>
  <c r="K4371" i="53"/>
  <c r="K4370" i="53"/>
  <c r="K4369" i="53"/>
  <c r="K4368" i="53"/>
  <c r="K4367" i="53"/>
  <c r="K4366" i="53"/>
  <c r="K4365" i="53"/>
  <c r="K4364" i="53"/>
  <c r="K4363" i="53"/>
  <c r="K4362" i="53"/>
  <c r="K4361" i="53"/>
  <c r="K4360" i="53"/>
  <c r="K4359" i="53"/>
  <c r="K4358" i="53"/>
  <c r="K4357" i="53"/>
  <c r="K4356" i="53"/>
  <c r="K4355" i="53"/>
  <c r="K4354" i="53"/>
  <c r="K4353" i="53"/>
  <c r="K4352" i="53"/>
  <c r="K4351" i="53"/>
  <c r="K4350" i="53"/>
  <c r="K4349" i="53"/>
  <c r="K4348" i="53"/>
  <c r="K4347" i="53"/>
  <c r="K4346" i="53"/>
  <c r="K4345" i="53"/>
  <c r="K4344" i="53"/>
  <c r="K4343" i="53"/>
  <c r="K4342" i="53"/>
  <c r="K4341" i="53"/>
  <c r="K4340" i="53"/>
  <c r="K4339" i="53"/>
  <c r="K4338" i="53"/>
  <c r="K4337" i="53"/>
  <c r="K4336" i="53"/>
  <c r="K4335" i="53"/>
  <c r="K4334" i="53"/>
  <c r="K4333" i="53"/>
  <c r="K4332" i="53"/>
  <c r="K4331" i="53"/>
  <c r="K4330" i="53"/>
  <c r="K4329" i="53"/>
  <c r="K4328" i="53"/>
  <c r="K4327" i="53"/>
  <c r="K4326" i="53"/>
  <c r="K4325" i="53"/>
  <c r="K4324" i="53"/>
  <c r="K4323" i="53"/>
  <c r="K4322" i="53"/>
  <c r="K4321" i="53"/>
  <c r="K4320" i="53"/>
  <c r="K4319" i="53"/>
  <c r="K4318" i="53"/>
  <c r="K4317" i="53"/>
  <c r="K4316" i="53"/>
  <c r="K4315" i="53"/>
  <c r="K4314" i="53"/>
  <c r="K4313" i="53"/>
  <c r="K4312" i="53"/>
  <c r="K4311" i="53"/>
  <c r="K4310" i="53"/>
  <c r="K4309" i="53"/>
  <c r="K4308" i="53"/>
  <c r="K4307" i="53"/>
  <c r="K4306" i="53"/>
  <c r="K4305" i="53"/>
  <c r="K4304" i="53"/>
  <c r="K4303" i="53"/>
  <c r="K4302" i="53"/>
  <c r="K4301" i="53"/>
  <c r="K4300" i="53"/>
  <c r="K4299" i="53"/>
  <c r="K4298" i="53"/>
  <c r="K4297" i="53"/>
  <c r="K4296" i="53"/>
  <c r="K4295" i="53"/>
  <c r="K4294" i="53"/>
  <c r="K4293" i="53"/>
  <c r="K4292" i="53"/>
  <c r="K4291" i="53"/>
  <c r="K4290" i="53"/>
  <c r="K4289" i="53"/>
  <c r="K4288" i="53"/>
  <c r="K4287" i="53"/>
  <c r="K4286" i="53"/>
  <c r="K4285" i="53"/>
  <c r="K4284" i="53"/>
  <c r="K4283" i="53"/>
  <c r="K4282" i="53"/>
  <c r="K4281" i="53"/>
  <c r="K4280" i="53"/>
  <c r="K4279" i="53"/>
  <c r="K4278" i="53"/>
  <c r="K4277" i="53"/>
  <c r="K4276" i="53"/>
  <c r="K4275" i="53"/>
  <c r="K4274" i="53"/>
  <c r="K4273" i="53"/>
  <c r="K4272" i="53"/>
  <c r="K4271" i="53"/>
  <c r="K4270" i="53"/>
  <c r="K4269" i="53"/>
  <c r="K4268" i="53"/>
  <c r="K4267" i="53"/>
  <c r="K4266" i="53"/>
  <c r="K4265" i="53"/>
  <c r="K4264" i="53"/>
  <c r="K4263" i="53"/>
  <c r="K4262" i="53"/>
  <c r="K4261" i="53"/>
  <c r="K4260" i="53"/>
  <c r="K4259" i="53"/>
  <c r="K4258" i="53"/>
  <c r="K4257" i="53"/>
  <c r="K4256" i="53"/>
  <c r="K4255" i="53"/>
  <c r="K4254" i="53"/>
  <c r="K4253" i="53"/>
  <c r="K4252" i="53"/>
  <c r="K4251" i="53"/>
  <c r="K4250" i="53"/>
  <c r="K4249" i="53"/>
  <c r="K4248" i="53"/>
  <c r="K4247" i="53"/>
  <c r="K4246" i="53"/>
  <c r="K4245" i="53"/>
  <c r="K4244" i="53"/>
  <c r="K4243" i="53"/>
  <c r="K4242" i="53"/>
  <c r="K4241" i="53"/>
  <c r="K4240" i="53"/>
  <c r="K4239" i="53"/>
  <c r="K4238" i="53"/>
  <c r="K4237" i="53"/>
  <c r="K4236" i="53"/>
  <c r="K4235" i="53"/>
  <c r="K4234" i="53"/>
  <c r="K4233" i="53"/>
  <c r="K4232" i="53"/>
  <c r="K4231" i="53"/>
  <c r="K4230" i="53"/>
  <c r="K4229" i="53"/>
  <c r="K4228" i="53"/>
  <c r="K4227" i="53"/>
  <c r="K4226" i="53"/>
  <c r="K4225" i="53"/>
  <c r="K4224" i="53"/>
  <c r="K4223" i="53"/>
  <c r="K4222" i="53"/>
  <c r="K4221" i="53"/>
  <c r="K4220" i="53"/>
  <c r="K4219" i="53"/>
  <c r="K4218" i="53"/>
  <c r="K4217" i="53"/>
  <c r="K4216" i="53"/>
  <c r="K4215" i="53"/>
  <c r="K4214" i="53"/>
  <c r="K4213" i="53"/>
  <c r="K4212" i="53"/>
  <c r="K4211" i="53"/>
  <c r="K4210" i="53"/>
  <c r="K4209" i="53"/>
  <c r="K4208" i="53"/>
  <c r="K4207" i="53"/>
  <c r="K4206" i="53"/>
  <c r="K4205" i="53"/>
  <c r="K4204" i="53"/>
  <c r="K4203" i="53"/>
  <c r="K4202" i="53"/>
  <c r="K4201" i="53"/>
  <c r="K4200" i="53"/>
  <c r="K4199" i="53"/>
  <c r="K4198" i="53"/>
  <c r="K4197" i="53"/>
  <c r="K4196" i="53"/>
  <c r="K4195" i="53"/>
  <c r="K4194" i="53"/>
  <c r="K4193" i="53"/>
  <c r="K4192" i="53"/>
  <c r="K4191" i="53"/>
  <c r="K4190" i="53"/>
  <c r="K4189" i="53"/>
  <c r="K4188" i="53"/>
  <c r="K4187" i="53"/>
  <c r="K4186" i="53"/>
  <c r="K4185" i="53"/>
  <c r="K4184" i="53"/>
  <c r="K4183" i="53"/>
  <c r="K4182" i="53"/>
  <c r="K4181" i="53"/>
  <c r="K4180" i="53"/>
  <c r="K4179" i="53"/>
  <c r="K4178" i="53"/>
  <c r="K4177" i="53"/>
  <c r="K4176" i="53"/>
  <c r="K4175" i="53"/>
  <c r="K4174" i="53"/>
  <c r="K4173" i="53"/>
  <c r="K4172" i="53"/>
  <c r="K4171" i="53"/>
  <c r="K4170" i="53"/>
  <c r="K4169" i="53"/>
  <c r="K4168" i="53"/>
  <c r="K4167" i="53"/>
  <c r="K4166" i="53"/>
  <c r="K4165" i="53"/>
  <c r="K4164" i="53"/>
  <c r="K4163" i="53"/>
  <c r="K4162" i="53"/>
  <c r="K4161" i="53"/>
  <c r="K4160" i="53"/>
  <c r="K4159" i="53"/>
  <c r="K4158" i="53"/>
  <c r="K4157" i="53"/>
  <c r="K4156" i="53"/>
  <c r="K4155" i="53"/>
  <c r="K4154" i="53"/>
  <c r="K4153" i="53"/>
  <c r="K4152" i="53"/>
  <c r="K4151" i="53"/>
  <c r="K4150" i="53"/>
  <c r="K4149" i="53"/>
  <c r="K4148" i="53"/>
  <c r="K4147" i="53"/>
  <c r="K4146" i="53"/>
  <c r="K4145" i="53"/>
  <c r="K4144" i="53"/>
  <c r="K4143" i="53"/>
  <c r="K4142" i="53"/>
  <c r="K4141" i="53"/>
  <c r="K4140" i="53"/>
  <c r="K4139" i="53"/>
  <c r="K4138" i="53"/>
  <c r="K4137" i="53"/>
  <c r="K4136" i="53"/>
  <c r="K4135" i="53"/>
  <c r="K4134" i="53"/>
  <c r="K4133" i="53"/>
  <c r="K4132" i="53"/>
  <c r="K4131" i="53"/>
  <c r="K4130" i="53"/>
  <c r="K4129" i="53"/>
  <c r="K4128" i="53"/>
  <c r="K4127" i="53"/>
  <c r="K4126" i="53"/>
  <c r="K4125" i="53"/>
  <c r="K4124" i="53"/>
  <c r="K4123" i="53"/>
  <c r="K4122" i="53"/>
  <c r="K4121" i="53"/>
  <c r="K4120" i="53"/>
  <c r="K4119" i="53"/>
  <c r="K4118" i="53"/>
  <c r="K4117" i="53"/>
  <c r="K4116" i="53"/>
  <c r="K4115" i="53"/>
  <c r="K4114" i="53"/>
  <c r="K4113" i="53"/>
  <c r="K4112" i="53"/>
  <c r="K4111" i="53"/>
  <c r="K4110" i="53"/>
  <c r="K4109" i="53"/>
  <c r="K4108" i="53"/>
  <c r="K4107" i="53"/>
  <c r="K4106" i="53"/>
  <c r="K4105" i="53"/>
  <c r="K4104" i="53"/>
  <c r="K4103" i="53"/>
  <c r="K4102" i="53"/>
  <c r="K4101" i="53"/>
  <c r="K4100" i="53"/>
  <c r="K4099" i="53"/>
  <c r="K4098" i="53"/>
  <c r="K4097" i="53"/>
  <c r="K4096" i="53"/>
  <c r="K4095" i="53"/>
  <c r="K4094" i="53"/>
  <c r="K4093" i="53"/>
  <c r="K4092" i="53"/>
  <c r="K4091" i="53"/>
  <c r="K4090" i="53"/>
  <c r="K4089" i="53"/>
  <c r="K4088" i="53"/>
  <c r="K4087" i="53"/>
  <c r="K4086" i="53"/>
  <c r="K4085" i="53"/>
  <c r="K4084" i="53"/>
  <c r="K4083" i="53"/>
  <c r="K4082" i="53"/>
  <c r="K4081" i="53"/>
  <c r="K4080" i="53"/>
  <c r="K4079" i="53"/>
  <c r="K4078" i="53"/>
  <c r="K4077" i="53"/>
  <c r="K4076" i="53"/>
  <c r="K4075" i="53"/>
  <c r="K4074" i="53"/>
  <c r="K4073" i="53"/>
  <c r="K4072" i="53"/>
  <c r="K4071" i="53"/>
  <c r="K4070" i="53"/>
  <c r="K4069" i="53"/>
  <c r="K4068" i="53"/>
  <c r="K4067" i="53"/>
  <c r="K4066" i="53"/>
  <c r="K4065" i="53"/>
  <c r="K4064" i="53"/>
  <c r="K4063" i="53"/>
  <c r="K4062" i="53"/>
  <c r="K4061" i="53"/>
  <c r="K4060" i="53"/>
  <c r="K4059" i="53"/>
  <c r="K4058" i="53"/>
  <c r="K4057" i="53"/>
  <c r="K4056" i="53"/>
  <c r="K4055" i="53"/>
  <c r="K4054" i="53"/>
  <c r="K4053" i="53"/>
  <c r="K4052" i="53"/>
  <c r="K4051" i="53"/>
  <c r="K4050" i="53"/>
  <c r="K4049" i="53"/>
  <c r="K4048" i="53"/>
  <c r="K4047" i="53"/>
  <c r="K4046" i="53"/>
  <c r="K4045" i="53"/>
  <c r="K4044" i="53"/>
  <c r="K4043" i="53"/>
  <c r="K4042" i="53"/>
  <c r="K4041" i="53"/>
  <c r="K4040" i="53"/>
  <c r="K4039" i="53"/>
  <c r="K4038" i="53"/>
  <c r="K4037" i="53"/>
  <c r="K4036" i="53"/>
  <c r="K4035" i="53"/>
  <c r="K4034" i="53"/>
  <c r="K4033" i="53"/>
  <c r="K4032" i="53"/>
  <c r="K4031" i="53"/>
  <c r="K4030" i="53"/>
  <c r="K4029" i="53"/>
  <c r="K4028" i="53"/>
  <c r="K4027" i="53"/>
  <c r="K4026" i="53"/>
  <c r="K4025" i="53"/>
  <c r="K4024" i="53"/>
  <c r="K4023" i="53"/>
  <c r="K4022" i="53"/>
  <c r="K4021" i="53"/>
  <c r="K4020" i="53"/>
  <c r="K4019" i="53"/>
  <c r="K4018" i="53"/>
  <c r="K4017" i="53"/>
  <c r="K4016" i="53"/>
  <c r="K4015" i="53"/>
  <c r="K4014" i="53"/>
  <c r="K4013" i="53"/>
  <c r="K4012" i="53"/>
  <c r="K4011" i="53"/>
  <c r="K4010" i="53"/>
  <c r="K4009" i="53"/>
  <c r="K4008" i="53"/>
  <c r="K4007" i="53"/>
  <c r="K4006" i="53"/>
  <c r="K4005" i="53"/>
  <c r="K4004" i="53"/>
  <c r="K4003" i="53"/>
  <c r="K4002" i="53"/>
  <c r="K4001" i="53"/>
  <c r="K4000" i="53"/>
  <c r="K3999" i="53"/>
  <c r="K3998" i="53"/>
  <c r="K3997" i="53"/>
  <c r="K3996" i="53"/>
  <c r="K3995" i="53"/>
  <c r="K3994" i="53"/>
  <c r="K3993" i="53"/>
  <c r="K3992" i="53"/>
  <c r="K3991" i="53"/>
  <c r="K3990" i="53"/>
  <c r="K3989" i="53"/>
  <c r="K3988" i="53"/>
  <c r="K3987" i="53"/>
  <c r="K3986" i="53"/>
  <c r="K3985" i="53"/>
  <c r="K3984" i="53"/>
  <c r="K3983" i="53"/>
  <c r="K3982" i="53"/>
  <c r="K3981" i="53"/>
  <c r="K3980" i="53"/>
  <c r="K3979" i="53"/>
  <c r="K3978" i="53"/>
  <c r="K3977" i="53"/>
  <c r="K3976" i="53"/>
  <c r="K3975" i="53"/>
  <c r="K3974" i="53"/>
  <c r="K3973" i="53"/>
  <c r="K3972" i="53"/>
  <c r="K3971" i="53"/>
  <c r="K3970" i="53"/>
  <c r="K3969" i="53"/>
  <c r="K3968" i="53"/>
  <c r="K3967" i="53"/>
  <c r="K3966" i="53"/>
  <c r="K3965" i="53"/>
  <c r="K3964" i="53"/>
  <c r="K3963" i="53"/>
  <c r="K3962" i="53"/>
  <c r="K3961" i="53"/>
  <c r="K3960" i="53"/>
  <c r="K3959" i="53"/>
  <c r="K3958" i="53"/>
  <c r="K3957" i="53"/>
  <c r="K3956" i="53"/>
  <c r="K3955" i="53"/>
  <c r="K3954" i="53"/>
  <c r="K3953" i="53"/>
  <c r="K3952" i="53"/>
  <c r="K3951" i="53"/>
  <c r="K3950" i="53"/>
  <c r="K3949" i="53"/>
  <c r="K3948" i="53"/>
  <c r="K3947" i="53"/>
  <c r="K3946" i="53"/>
  <c r="K3945" i="53"/>
  <c r="K3944" i="53"/>
  <c r="K3943" i="53"/>
  <c r="K3942" i="53"/>
  <c r="K3941" i="53"/>
  <c r="K3940" i="53"/>
  <c r="K3939" i="53"/>
  <c r="K3938" i="53"/>
  <c r="K3937" i="53"/>
  <c r="K3936" i="53"/>
  <c r="K3935" i="53"/>
  <c r="K3934" i="53"/>
  <c r="K3933" i="53"/>
  <c r="K3932" i="53"/>
  <c r="K3931" i="53"/>
  <c r="K3930" i="53"/>
  <c r="K3929" i="53"/>
  <c r="K3928" i="53"/>
  <c r="K3927" i="53"/>
  <c r="K3926" i="53"/>
  <c r="K3925" i="53"/>
  <c r="K3924" i="53"/>
  <c r="K3923" i="53"/>
  <c r="K3922" i="53"/>
  <c r="K3921" i="53"/>
  <c r="K3920" i="53"/>
  <c r="K3919" i="53"/>
  <c r="K3918" i="53"/>
  <c r="K3917" i="53"/>
  <c r="K3916" i="53"/>
  <c r="K3915" i="53"/>
  <c r="K3914" i="53"/>
  <c r="K3913" i="53"/>
  <c r="K3912" i="53"/>
  <c r="K3911" i="53"/>
  <c r="K3910" i="53"/>
  <c r="K3909" i="53"/>
  <c r="K3908" i="53"/>
  <c r="K3907" i="53"/>
  <c r="K3906" i="53"/>
  <c r="K3905" i="53"/>
  <c r="K3904" i="53"/>
  <c r="K3903" i="53"/>
  <c r="K3902" i="53"/>
  <c r="K3901" i="53"/>
  <c r="K3900" i="53"/>
  <c r="K3899" i="53"/>
  <c r="K3898" i="53"/>
  <c r="K3897" i="53"/>
  <c r="K3896" i="53"/>
  <c r="K3895" i="53"/>
  <c r="K3894" i="53"/>
  <c r="K3893" i="53"/>
  <c r="K3892" i="53"/>
  <c r="K3891" i="53"/>
  <c r="K3890" i="53"/>
  <c r="K3889" i="53"/>
  <c r="K3888" i="53"/>
  <c r="K3887" i="53"/>
  <c r="K3886" i="53"/>
  <c r="K3885" i="53"/>
  <c r="K3884" i="53"/>
  <c r="K3883" i="53"/>
  <c r="K3882" i="53"/>
  <c r="K3881" i="53"/>
  <c r="K3880" i="53"/>
  <c r="K3879" i="53"/>
  <c r="K3878" i="53"/>
  <c r="K3877" i="53"/>
  <c r="K3876" i="53"/>
  <c r="K3875" i="53"/>
  <c r="K3874" i="53"/>
  <c r="K3873" i="53"/>
  <c r="K3872" i="53"/>
  <c r="K3871" i="53"/>
  <c r="K3870" i="53"/>
  <c r="K3869" i="53"/>
  <c r="K3868" i="53"/>
  <c r="K3867" i="53"/>
  <c r="K3866" i="53"/>
  <c r="K3865" i="53"/>
  <c r="K3864" i="53"/>
  <c r="K3863" i="53"/>
  <c r="K3862" i="53"/>
  <c r="K3861" i="53"/>
  <c r="K3860" i="53"/>
  <c r="K3859" i="53"/>
  <c r="K3858" i="53"/>
  <c r="K3857" i="53"/>
  <c r="K3856" i="53"/>
  <c r="K3855" i="53"/>
  <c r="K3854" i="53"/>
  <c r="K3853" i="53"/>
  <c r="K3852" i="53"/>
  <c r="K3851" i="53"/>
  <c r="K3850" i="53"/>
  <c r="K3849" i="53"/>
  <c r="K3848" i="53"/>
  <c r="K3847" i="53"/>
  <c r="K3846" i="53"/>
  <c r="K3845" i="53"/>
  <c r="K3844" i="53"/>
  <c r="K3843" i="53"/>
  <c r="K3842" i="53"/>
  <c r="K3841" i="53"/>
  <c r="K3840" i="53"/>
  <c r="K3839" i="53"/>
  <c r="K3838" i="53"/>
  <c r="K3837" i="53"/>
  <c r="K3836" i="53"/>
  <c r="K3835" i="53"/>
  <c r="K3834" i="53"/>
  <c r="K3833" i="53"/>
  <c r="K3832" i="53"/>
  <c r="K3831" i="53"/>
  <c r="K3830" i="53"/>
  <c r="K3829" i="53"/>
  <c r="K3828" i="53"/>
  <c r="K3827" i="53"/>
  <c r="K3826" i="53"/>
  <c r="K3825" i="53"/>
  <c r="K3824" i="53"/>
  <c r="K3823" i="53"/>
  <c r="K3822" i="53"/>
  <c r="K3821" i="53"/>
  <c r="K3820" i="53"/>
  <c r="K3819" i="53"/>
  <c r="K3818" i="53"/>
  <c r="K3817" i="53"/>
  <c r="K3816" i="53"/>
  <c r="K3815" i="53"/>
  <c r="K3814" i="53"/>
  <c r="K3813" i="53"/>
  <c r="K3812" i="53"/>
  <c r="K3811" i="53"/>
  <c r="K3810" i="53"/>
  <c r="K3809" i="53"/>
  <c r="K3808" i="53"/>
  <c r="K3807" i="53"/>
  <c r="K3806" i="53"/>
  <c r="K3805" i="53"/>
  <c r="K3804" i="53"/>
  <c r="K3803" i="53"/>
  <c r="K3802" i="53"/>
  <c r="K3801" i="53"/>
  <c r="K3800" i="53"/>
  <c r="K3799" i="53"/>
  <c r="K3798" i="53"/>
  <c r="K3797" i="53"/>
  <c r="K3796" i="53"/>
  <c r="K3795" i="53"/>
  <c r="K3794" i="53"/>
  <c r="K3793" i="53"/>
  <c r="K3792" i="53"/>
  <c r="K3791" i="53"/>
  <c r="K3790" i="53"/>
  <c r="K3789" i="53"/>
  <c r="K3788" i="53"/>
  <c r="K3787" i="53"/>
  <c r="K3786" i="53"/>
  <c r="K3785" i="53"/>
  <c r="K3784" i="53"/>
  <c r="K3783" i="53"/>
  <c r="K3782" i="53"/>
  <c r="K3781" i="53"/>
  <c r="K3780" i="53"/>
  <c r="K3779" i="53"/>
  <c r="K3778" i="53"/>
  <c r="K3777" i="53"/>
  <c r="K3776" i="53"/>
  <c r="K3775" i="53"/>
  <c r="K3774" i="53"/>
  <c r="K3773" i="53"/>
  <c r="K3772" i="53"/>
  <c r="K3771" i="53"/>
  <c r="K3770" i="53"/>
  <c r="K3769" i="53"/>
  <c r="K3768" i="53"/>
  <c r="K3767" i="53"/>
  <c r="K3766" i="53"/>
  <c r="K3765" i="53"/>
  <c r="K3764" i="53"/>
  <c r="K3763" i="53"/>
  <c r="K3762" i="53"/>
  <c r="K3761" i="53"/>
  <c r="K3760" i="53"/>
  <c r="K3759" i="53"/>
  <c r="K3758" i="53"/>
  <c r="K3757" i="53"/>
  <c r="K3756" i="53"/>
  <c r="K3755" i="53"/>
  <c r="K3754" i="53"/>
  <c r="K3753" i="53"/>
  <c r="K3752" i="53"/>
  <c r="K3751" i="53"/>
  <c r="K3750" i="53"/>
  <c r="K3749" i="53"/>
  <c r="K3748" i="53"/>
  <c r="K3747" i="53"/>
  <c r="K3746" i="53"/>
  <c r="K3745" i="53"/>
  <c r="K3744" i="53"/>
  <c r="K3743" i="53"/>
  <c r="K3742" i="53"/>
  <c r="K3741" i="53"/>
  <c r="K3740" i="53"/>
  <c r="K3739" i="53"/>
  <c r="K3738" i="53"/>
  <c r="K3737" i="53"/>
  <c r="K3736" i="53"/>
  <c r="K3735" i="53"/>
  <c r="K3734" i="53"/>
  <c r="K3733" i="53"/>
  <c r="K3732" i="53"/>
  <c r="K3731" i="53"/>
  <c r="K3730" i="53"/>
  <c r="K3729" i="53"/>
  <c r="K3728" i="53"/>
  <c r="K3727" i="53"/>
  <c r="K3726" i="53"/>
  <c r="K3725" i="53"/>
  <c r="K3724" i="53"/>
  <c r="K3723" i="53"/>
  <c r="K3722" i="53"/>
  <c r="K3721" i="53"/>
  <c r="K3720" i="53"/>
  <c r="K3719" i="53"/>
  <c r="K3718" i="53"/>
  <c r="K3717" i="53"/>
  <c r="K3716" i="53"/>
  <c r="K3715" i="53"/>
  <c r="K3714" i="53"/>
  <c r="K3713" i="53"/>
  <c r="K3712" i="53"/>
  <c r="K3711" i="53"/>
  <c r="K3710" i="53"/>
  <c r="K3709" i="53"/>
  <c r="K3708" i="53"/>
  <c r="K3707" i="53"/>
  <c r="K3706" i="53"/>
  <c r="K3705" i="53"/>
  <c r="K3704" i="53"/>
  <c r="K3703" i="53"/>
  <c r="K3702" i="53"/>
  <c r="K3701" i="53"/>
  <c r="K3700" i="53"/>
  <c r="K3699" i="53"/>
  <c r="K3698" i="53"/>
  <c r="K3697" i="53"/>
  <c r="K3696" i="53"/>
  <c r="K3695" i="53"/>
  <c r="K3694" i="53"/>
  <c r="K3693" i="53"/>
  <c r="K3692" i="53"/>
  <c r="K3691" i="53"/>
  <c r="K3690" i="53"/>
  <c r="K3689" i="53"/>
  <c r="K3688" i="53"/>
  <c r="K3687" i="53"/>
  <c r="K3686" i="53"/>
  <c r="K3685" i="53"/>
  <c r="K3684" i="53"/>
  <c r="K3683" i="53"/>
  <c r="K3682" i="53"/>
  <c r="K3681" i="53"/>
  <c r="K3680" i="53"/>
  <c r="K3679" i="53"/>
  <c r="K3678" i="53"/>
  <c r="K3677" i="53"/>
  <c r="K3676" i="53"/>
  <c r="K3675" i="53"/>
  <c r="K3674" i="53"/>
  <c r="K3673" i="53"/>
  <c r="K3672" i="53"/>
  <c r="K3671" i="53"/>
  <c r="K3670" i="53"/>
  <c r="K3669" i="53"/>
  <c r="K3668" i="53"/>
  <c r="K3667" i="53"/>
  <c r="K3666" i="53"/>
  <c r="K3665" i="53"/>
  <c r="K3664" i="53"/>
  <c r="K3663" i="53"/>
  <c r="K3662" i="53"/>
  <c r="K3661" i="53"/>
  <c r="K3660" i="53"/>
  <c r="K3659" i="53"/>
  <c r="K3658" i="53"/>
  <c r="K3657" i="53"/>
  <c r="K3656" i="53"/>
  <c r="K3655" i="53"/>
  <c r="K3654" i="53"/>
  <c r="K3653" i="53"/>
  <c r="K3652" i="53"/>
  <c r="K3651" i="53"/>
  <c r="K3650" i="53"/>
  <c r="K3649" i="53"/>
  <c r="K3648" i="53"/>
  <c r="K3647" i="53"/>
  <c r="K3646" i="53"/>
  <c r="K3645" i="53"/>
  <c r="K3644" i="53"/>
  <c r="K3643" i="53"/>
  <c r="K3642" i="53"/>
  <c r="K3641" i="53"/>
  <c r="K3640" i="53"/>
  <c r="K3639" i="53"/>
  <c r="K3638" i="53"/>
  <c r="K3637" i="53"/>
  <c r="K3636" i="53"/>
  <c r="K3635" i="53"/>
  <c r="K3634" i="53"/>
  <c r="K3633" i="53"/>
  <c r="K3632" i="53"/>
  <c r="K3631" i="53"/>
  <c r="K3630" i="53"/>
  <c r="K3629" i="53"/>
  <c r="K3628" i="53"/>
  <c r="K3627" i="53"/>
  <c r="K3626" i="53"/>
  <c r="K3625" i="53"/>
  <c r="K3624" i="53"/>
  <c r="K3623" i="53"/>
  <c r="K3622" i="53"/>
  <c r="K3621" i="53"/>
  <c r="K3620" i="53"/>
  <c r="K3619" i="53"/>
  <c r="K3618" i="53"/>
  <c r="K3617" i="53"/>
  <c r="K3616" i="53"/>
  <c r="K3615" i="53"/>
  <c r="K3614" i="53"/>
  <c r="K3613" i="53"/>
  <c r="K3612" i="53"/>
  <c r="K3611" i="53"/>
  <c r="K3610" i="53"/>
  <c r="K3609" i="53"/>
  <c r="K3608" i="53"/>
  <c r="K3607" i="53"/>
  <c r="K3606" i="53"/>
  <c r="K3605" i="53"/>
  <c r="K3604" i="53"/>
  <c r="K3603" i="53"/>
  <c r="K3602" i="53"/>
  <c r="K3601" i="53"/>
  <c r="K3600" i="53"/>
  <c r="K3599" i="53"/>
  <c r="K3598" i="53"/>
  <c r="K3597" i="53"/>
  <c r="K3596" i="53"/>
  <c r="K3595" i="53"/>
  <c r="K3594" i="53"/>
  <c r="K3593" i="53"/>
  <c r="K3592" i="53"/>
  <c r="K3591" i="53"/>
  <c r="K3590" i="53"/>
  <c r="K3589" i="53"/>
  <c r="K3588" i="53"/>
  <c r="K3587" i="53"/>
  <c r="K3586" i="53"/>
  <c r="K3585" i="53"/>
  <c r="K3584" i="53"/>
  <c r="K3583" i="53"/>
  <c r="K3582" i="53"/>
  <c r="K3581" i="53"/>
  <c r="K3580" i="53"/>
  <c r="K3579" i="53"/>
  <c r="K3578" i="53"/>
  <c r="K3577" i="53"/>
  <c r="K3576" i="53"/>
  <c r="K3575" i="53"/>
  <c r="K3574" i="53"/>
  <c r="K3573" i="53"/>
  <c r="K3572" i="53"/>
  <c r="K3571" i="53"/>
  <c r="K3570" i="53"/>
  <c r="K3569" i="53"/>
  <c r="K3568" i="53"/>
  <c r="K3567" i="53"/>
  <c r="K3566" i="53"/>
  <c r="K3565" i="53"/>
  <c r="K3564" i="53"/>
  <c r="K3563" i="53"/>
  <c r="K3562" i="53"/>
  <c r="K3561" i="53"/>
  <c r="K3560" i="53"/>
  <c r="K3559" i="53"/>
  <c r="K3558" i="53"/>
  <c r="K3557" i="53"/>
  <c r="K3556" i="53"/>
  <c r="K3555" i="53"/>
  <c r="K3554" i="53"/>
  <c r="K3553" i="53"/>
  <c r="K3552" i="53"/>
  <c r="K3551" i="53"/>
  <c r="K3550" i="53"/>
  <c r="K3549" i="53"/>
  <c r="K3548" i="53"/>
  <c r="K3547" i="53"/>
  <c r="K3546" i="53"/>
  <c r="K3545" i="53"/>
  <c r="K3544" i="53"/>
  <c r="K3543" i="53"/>
  <c r="K3542" i="53"/>
  <c r="K3541" i="53"/>
  <c r="K3540" i="53"/>
  <c r="K3539" i="53"/>
  <c r="K3538" i="53"/>
  <c r="K3537" i="53"/>
  <c r="K3536" i="53"/>
  <c r="K3535" i="53"/>
  <c r="K3534" i="53"/>
  <c r="K3533" i="53"/>
  <c r="K3532" i="53"/>
  <c r="K3531" i="53"/>
  <c r="K3530" i="53"/>
  <c r="K3529" i="53"/>
  <c r="K3528" i="53"/>
  <c r="K3527" i="53"/>
  <c r="K3526" i="53"/>
  <c r="K3525" i="53"/>
  <c r="K3524" i="53"/>
  <c r="K3523" i="53"/>
  <c r="K3522" i="53"/>
  <c r="K3521" i="53"/>
  <c r="K3520" i="53"/>
  <c r="K3519" i="53"/>
  <c r="K3518" i="53"/>
  <c r="K3517" i="53"/>
  <c r="K3516" i="53"/>
  <c r="K3515" i="53"/>
  <c r="K3514" i="53"/>
  <c r="K3513" i="53"/>
  <c r="K3512" i="53"/>
  <c r="K3511" i="53"/>
  <c r="K3510" i="53"/>
  <c r="K3509" i="53"/>
  <c r="K3508" i="53"/>
  <c r="K3507" i="53"/>
  <c r="K3506" i="53"/>
  <c r="K3505" i="53"/>
  <c r="K3504" i="53"/>
  <c r="K3503" i="53"/>
  <c r="K3502" i="53"/>
  <c r="K3501" i="53"/>
  <c r="K3500" i="53"/>
  <c r="K3499" i="53"/>
  <c r="K3498" i="53"/>
  <c r="K3497" i="53"/>
  <c r="K3496" i="53"/>
  <c r="K3495" i="53"/>
  <c r="K3494" i="53"/>
  <c r="K3493" i="53"/>
  <c r="K3492" i="53"/>
  <c r="K3491" i="53"/>
  <c r="K3490" i="53"/>
  <c r="K3489" i="53"/>
  <c r="K3488" i="53"/>
  <c r="K3487" i="53"/>
  <c r="K3486" i="53"/>
  <c r="K3485" i="53"/>
  <c r="K3484" i="53"/>
  <c r="K3483" i="53"/>
  <c r="K3482" i="53"/>
  <c r="K3481" i="53"/>
  <c r="K3480" i="53"/>
  <c r="K3479" i="53"/>
  <c r="K3478" i="53"/>
  <c r="K3477" i="53"/>
  <c r="K3476" i="53"/>
  <c r="K3475" i="53"/>
  <c r="K3474" i="53"/>
  <c r="K3473" i="53"/>
  <c r="K3472" i="53"/>
  <c r="K3471" i="53"/>
  <c r="K3470" i="53"/>
  <c r="K3469" i="53"/>
  <c r="K3468" i="53"/>
  <c r="K3467" i="53"/>
  <c r="K3466" i="53"/>
  <c r="K3465" i="53"/>
  <c r="K3464" i="53"/>
  <c r="K3463" i="53"/>
  <c r="K3462" i="53"/>
  <c r="K3461" i="53"/>
  <c r="K3460" i="53"/>
  <c r="K3459" i="53"/>
  <c r="K3458" i="53"/>
  <c r="K3457" i="53"/>
  <c r="K3456" i="53"/>
  <c r="K3455" i="53"/>
  <c r="K3454" i="53"/>
  <c r="K3453" i="53"/>
  <c r="K3452" i="53"/>
  <c r="K3451" i="53"/>
  <c r="K3450" i="53"/>
  <c r="K3449" i="53"/>
  <c r="K3448" i="53"/>
  <c r="K3447" i="53"/>
  <c r="K3446" i="53"/>
  <c r="K3445" i="53"/>
  <c r="K3444" i="53"/>
  <c r="K3443" i="53"/>
  <c r="K3442" i="53"/>
  <c r="K3441" i="53"/>
  <c r="K3440" i="53"/>
  <c r="K3439" i="53"/>
  <c r="K3438" i="53"/>
  <c r="K3437" i="53"/>
  <c r="K3436" i="53"/>
  <c r="K3435" i="53"/>
  <c r="K3434" i="53"/>
  <c r="K3433" i="53"/>
  <c r="K3432" i="53"/>
  <c r="K3431" i="53"/>
  <c r="K3430" i="53"/>
  <c r="K3429" i="53"/>
  <c r="K3428" i="53"/>
  <c r="K3427" i="53"/>
  <c r="K3426" i="53"/>
  <c r="K3425" i="53"/>
  <c r="K3424" i="53"/>
  <c r="K3423" i="53"/>
  <c r="K3422" i="53"/>
  <c r="K3421" i="53"/>
  <c r="K3420" i="53"/>
  <c r="K3419" i="53"/>
  <c r="K3418" i="53"/>
  <c r="K3417" i="53"/>
  <c r="K3416" i="53"/>
  <c r="K3415" i="53"/>
  <c r="K3414" i="53"/>
  <c r="K3413" i="53"/>
  <c r="K3412" i="53"/>
  <c r="K3411" i="53"/>
  <c r="K3410" i="53"/>
  <c r="K3409" i="53"/>
  <c r="K3408" i="53"/>
  <c r="K3407" i="53"/>
  <c r="K3406" i="53"/>
  <c r="K3405" i="53"/>
  <c r="K3404" i="53"/>
  <c r="K3403" i="53"/>
  <c r="K3402" i="53"/>
  <c r="K3401" i="53"/>
  <c r="K3400" i="53"/>
  <c r="K3399" i="53"/>
  <c r="K3398" i="53"/>
  <c r="K3397" i="53"/>
  <c r="K3396" i="53"/>
  <c r="K3395" i="53"/>
  <c r="K3394" i="53"/>
  <c r="K3393" i="53"/>
  <c r="K3392" i="53"/>
  <c r="K3391" i="53"/>
  <c r="K3390" i="53"/>
  <c r="K3389" i="53"/>
  <c r="K3388" i="53"/>
  <c r="K3387" i="53"/>
  <c r="K3386" i="53"/>
  <c r="K3385" i="53"/>
  <c r="K3384" i="53"/>
  <c r="K3383" i="53"/>
  <c r="K3382" i="53"/>
  <c r="K3381" i="53"/>
  <c r="K3380" i="53"/>
  <c r="K3379" i="53"/>
  <c r="K3378" i="53"/>
  <c r="K3377" i="53"/>
  <c r="K3376" i="53"/>
  <c r="K3375" i="53"/>
  <c r="K3374" i="53"/>
  <c r="K3373" i="53"/>
  <c r="K3372" i="53"/>
  <c r="K3371" i="53"/>
  <c r="K3370" i="53"/>
  <c r="K3369" i="53"/>
  <c r="K3368" i="53"/>
  <c r="K3367" i="53"/>
  <c r="K3366" i="53"/>
  <c r="K3365" i="53"/>
  <c r="K3364" i="53"/>
  <c r="K3363" i="53"/>
  <c r="K3362" i="53"/>
  <c r="K3361" i="53"/>
  <c r="K3360" i="53"/>
  <c r="K3359" i="53"/>
  <c r="K3358" i="53"/>
  <c r="K3357" i="53"/>
  <c r="K3356" i="53"/>
  <c r="K3355" i="53"/>
  <c r="K3354" i="53"/>
  <c r="K3353" i="53"/>
  <c r="K3352" i="53"/>
  <c r="K3351" i="53"/>
  <c r="K3350" i="53"/>
  <c r="K3349" i="53"/>
  <c r="K3348" i="53"/>
  <c r="K3347" i="53"/>
  <c r="K3346" i="53"/>
  <c r="K3345" i="53"/>
  <c r="K3344" i="53"/>
  <c r="K3343" i="53"/>
  <c r="K3342" i="53"/>
  <c r="K3341" i="53"/>
  <c r="K3340" i="53"/>
  <c r="K3339" i="53"/>
  <c r="K3338" i="53"/>
  <c r="K3337" i="53"/>
  <c r="K3336" i="53"/>
  <c r="K3335" i="53"/>
  <c r="K3334" i="53"/>
  <c r="K3333" i="53"/>
  <c r="K3332" i="53"/>
  <c r="K3331" i="53"/>
  <c r="K3330" i="53"/>
  <c r="K3329" i="53"/>
  <c r="K3328" i="53"/>
  <c r="K3327" i="53"/>
  <c r="K3326" i="53"/>
  <c r="K3325" i="53"/>
  <c r="K3324" i="53"/>
  <c r="K3323" i="53"/>
  <c r="K3322" i="53"/>
  <c r="K3321" i="53"/>
  <c r="K3320" i="53"/>
  <c r="K3319" i="53"/>
  <c r="K3318" i="53"/>
  <c r="K3317" i="53"/>
  <c r="K3316" i="53"/>
  <c r="K3315" i="53"/>
  <c r="K3314" i="53"/>
  <c r="K3313" i="53"/>
  <c r="K3312" i="53"/>
  <c r="K3311" i="53"/>
  <c r="K3310" i="53"/>
  <c r="K3309" i="53"/>
  <c r="K3308" i="53"/>
  <c r="K3307" i="53"/>
  <c r="K3306" i="53"/>
  <c r="K3305" i="53"/>
  <c r="K3304" i="53"/>
  <c r="K3303" i="53"/>
  <c r="K3302" i="53"/>
  <c r="K3301" i="53"/>
  <c r="K3300" i="53"/>
  <c r="K3299" i="53"/>
  <c r="K3298" i="53"/>
  <c r="K3297" i="53"/>
  <c r="K3296" i="53"/>
  <c r="K3295" i="53"/>
  <c r="K3294" i="53"/>
  <c r="K3293" i="53"/>
  <c r="K3292" i="53"/>
  <c r="K3291" i="53"/>
  <c r="K3290" i="53"/>
  <c r="K3289" i="53"/>
  <c r="K3288" i="53"/>
  <c r="K3287" i="53"/>
  <c r="K3286" i="53"/>
  <c r="K3285" i="53"/>
  <c r="K3284" i="53"/>
  <c r="K3283" i="53"/>
  <c r="K3282" i="53"/>
  <c r="K3281" i="53"/>
  <c r="K3280" i="53"/>
  <c r="K3279" i="53"/>
  <c r="K3278" i="53"/>
  <c r="K3277" i="53"/>
  <c r="K3276" i="53"/>
  <c r="K3275" i="53"/>
  <c r="K3274" i="53"/>
  <c r="K3273" i="53"/>
  <c r="K3272" i="53"/>
  <c r="K3271" i="53"/>
  <c r="K3270" i="53"/>
  <c r="K3269" i="53"/>
  <c r="K3268" i="53"/>
  <c r="K3267" i="53"/>
  <c r="K3266" i="53"/>
  <c r="K3265" i="53"/>
  <c r="K3264" i="53"/>
  <c r="K3263" i="53"/>
  <c r="K3262" i="53"/>
  <c r="K3261" i="53"/>
  <c r="K3260" i="53"/>
  <c r="K3259" i="53"/>
  <c r="K3258" i="53"/>
  <c r="K3257" i="53"/>
  <c r="K3256" i="53"/>
  <c r="K3255" i="53"/>
  <c r="K3254" i="53"/>
  <c r="K3253" i="53"/>
  <c r="K3252" i="53"/>
  <c r="K3251" i="53"/>
  <c r="K3250" i="53"/>
  <c r="K3249" i="53"/>
  <c r="K3248" i="53"/>
  <c r="K3247" i="53"/>
  <c r="K3246" i="53"/>
  <c r="K3245" i="53"/>
  <c r="K3244" i="53"/>
  <c r="K3243" i="53"/>
  <c r="K3242" i="53"/>
  <c r="K3241" i="53"/>
  <c r="K3240" i="53"/>
  <c r="K3239" i="53"/>
  <c r="K3238" i="53"/>
  <c r="K3237" i="53"/>
  <c r="K3236" i="53"/>
  <c r="K3235" i="53"/>
  <c r="K3234" i="53"/>
  <c r="K3233" i="53"/>
  <c r="K3232" i="53"/>
  <c r="K3231" i="53"/>
  <c r="K3230" i="53"/>
  <c r="K3229" i="53"/>
  <c r="K3228" i="53"/>
  <c r="K3227" i="53"/>
  <c r="K3226" i="53"/>
  <c r="K3225" i="53"/>
  <c r="K3224" i="53"/>
  <c r="K3223" i="53"/>
  <c r="K3222" i="53"/>
  <c r="K3221" i="53"/>
  <c r="K3220" i="53"/>
  <c r="K3219" i="53"/>
  <c r="K3218" i="53"/>
  <c r="K3217" i="53"/>
  <c r="K3216" i="53"/>
  <c r="K3215" i="53"/>
  <c r="K3214" i="53"/>
  <c r="K3213" i="53"/>
  <c r="K3212" i="53"/>
  <c r="K3211" i="53"/>
  <c r="K3210" i="53"/>
  <c r="K3209" i="53"/>
  <c r="K3208" i="53"/>
  <c r="K3207" i="53"/>
  <c r="K3206" i="53"/>
  <c r="K3205" i="53"/>
  <c r="K3204" i="53"/>
  <c r="K3203" i="53"/>
  <c r="K3202" i="53"/>
  <c r="K3201" i="53"/>
  <c r="K3200" i="53"/>
  <c r="K3199" i="53"/>
  <c r="K3198" i="53"/>
  <c r="K3197" i="53"/>
  <c r="K3196" i="53"/>
  <c r="K3195" i="53"/>
  <c r="K3194" i="53"/>
  <c r="K3193" i="53"/>
  <c r="K3192" i="53"/>
  <c r="K3191" i="53"/>
  <c r="K3190" i="53"/>
  <c r="K3189" i="53"/>
  <c r="K3188" i="53"/>
  <c r="K3187" i="53"/>
  <c r="K3186" i="53"/>
  <c r="K3185" i="53"/>
  <c r="K3184" i="53"/>
  <c r="K3183" i="53"/>
  <c r="K3182" i="53"/>
  <c r="K3181" i="53"/>
  <c r="K3180" i="53"/>
  <c r="K3179" i="53"/>
  <c r="K3178" i="53"/>
  <c r="K3177" i="53"/>
  <c r="K3176" i="53"/>
  <c r="K3175" i="53"/>
  <c r="K3174" i="53"/>
  <c r="K3173" i="53"/>
  <c r="K3172" i="53"/>
  <c r="K3171" i="53"/>
  <c r="K3170" i="53"/>
  <c r="K3169" i="53"/>
  <c r="K3168" i="53"/>
  <c r="K3167" i="53"/>
  <c r="K3166" i="53"/>
  <c r="K3165" i="53"/>
  <c r="K3164" i="53"/>
  <c r="K3163" i="53"/>
  <c r="K3162" i="53"/>
  <c r="K3161" i="53"/>
  <c r="K3160" i="53"/>
  <c r="K3159" i="53"/>
  <c r="K3158" i="53"/>
  <c r="K3157" i="53"/>
  <c r="K3156" i="53"/>
  <c r="K3155" i="53"/>
  <c r="K3154" i="53"/>
  <c r="K3153" i="53"/>
  <c r="K3152" i="53"/>
  <c r="K3151" i="53"/>
  <c r="K3150" i="53"/>
  <c r="K3149" i="53"/>
  <c r="K3148" i="53"/>
  <c r="K3147" i="53"/>
  <c r="K3146" i="53"/>
  <c r="K3145" i="53"/>
  <c r="K3144" i="53"/>
  <c r="K3143" i="53"/>
  <c r="K3142" i="53"/>
  <c r="K3141" i="53"/>
  <c r="K3140" i="53"/>
  <c r="K3139" i="53"/>
  <c r="K3138" i="53"/>
  <c r="K3137" i="53"/>
  <c r="K3136" i="53"/>
  <c r="K3135" i="53"/>
  <c r="K3134" i="53"/>
  <c r="K3133" i="53"/>
  <c r="K3132" i="53"/>
  <c r="K3131" i="53"/>
  <c r="K3130" i="53"/>
  <c r="K3129" i="53"/>
  <c r="K3128" i="53"/>
  <c r="K3127" i="53"/>
  <c r="K3126" i="53"/>
  <c r="K3125" i="53"/>
  <c r="K3124" i="53"/>
  <c r="K3123" i="53"/>
  <c r="K3122" i="53"/>
  <c r="K3121" i="53"/>
  <c r="K3120" i="53"/>
  <c r="K3119" i="53"/>
  <c r="K3118" i="53"/>
  <c r="K3117" i="53"/>
  <c r="K3116" i="53"/>
  <c r="K3115" i="53"/>
  <c r="K3114" i="53"/>
  <c r="K3113" i="53"/>
  <c r="K3112" i="53"/>
  <c r="K3111" i="53"/>
  <c r="K3110" i="53"/>
  <c r="K3109" i="53"/>
  <c r="K3108" i="53"/>
  <c r="K3107" i="53"/>
  <c r="K3106" i="53"/>
  <c r="K3105" i="53"/>
  <c r="K3104" i="53"/>
  <c r="K3103" i="53"/>
  <c r="K3102" i="53"/>
  <c r="K3101" i="53"/>
  <c r="K3100" i="53"/>
  <c r="K3099" i="53"/>
  <c r="K3098" i="53"/>
  <c r="K3097" i="53"/>
  <c r="K3096" i="53"/>
  <c r="K3095" i="53"/>
  <c r="K3094" i="53"/>
  <c r="K3093" i="53"/>
  <c r="K3092" i="53"/>
  <c r="K3091" i="53"/>
  <c r="K3090" i="53"/>
  <c r="K3089" i="53"/>
  <c r="K3088" i="53"/>
  <c r="K3087" i="53"/>
  <c r="K3086" i="53"/>
  <c r="K3085" i="53"/>
  <c r="K3084" i="53"/>
  <c r="K3083" i="53"/>
  <c r="K3082" i="53"/>
  <c r="K3081" i="53"/>
  <c r="K3080" i="53"/>
  <c r="K3079" i="53"/>
  <c r="K3078" i="53"/>
  <c r="K3077" i="53"/>
  <c r="K3076" i="53"/>
  <c r="K3075" i="53"/>
  <c r="K3074" i="53"/>
  <c r="K3073" i="53"/>
  <c r="K3072" i="53"/>
  <c r="K3071" i="53"/>
  <c r="K3070" i="53"/>
  <c r="K3069" i="53"/>
  <c r="K3068" i="53"/>
  <c r="K3067" i="53"/>
  <c r="K3066" i="53"/>
  <c r="K3065" i="53"/>
  <c r="K3064" i="53"/>
  <c r="K3063" i="53"/>
  <c r="K3062" i="53"/>
  <c r="K3061" i="53"/>
  <c r="K3060" i="53"/>
  <c r="K3059" i="53"/>
  <c r="K3058" i="53"/>
  <c r="K3057" i="53"/>
  <c r="K3056" i="53"/>
  <c r="K3055" i="53"/>
  <c r="K3054" i="53"/>
  <c r="K3053" i="53"/>
  <c r="K3052" i="53"/>
  <c r="K3051" i="53"/>
  <c r="K3050" i="53"/>
  <c r="K3049" i="53"/>
  <c r="K3048" i="53"/>
  <c r="K3047" i="53"/>
  <c r="K3046" i="53"/>
  <c r="K3045" i="53"/>
  <c r="K3044" i="53"/>
  <c r="K3043" i="53"/>
  <c r="K3042" i="53"/>
  <c r="K3041" i="53"/>
  <c r="K3040" i="53"/>
  <c r="K3039" i="53"/>
  <c r="K3038" i="53"/>
  <c r="K3037" i="53"/>
  <c r="K3036" i="53"/>
  <c r="K3035" i="53"/>
  <c r="K3034" i="53"/>
  <c r="K3033" i="53"/>
  <c r="K3032" i="53"/>
  <c r="K3031" i="53"/>
  <c r="K3030" i="53"/>
  <c r="K3029" i="53"/>
  <c r="K3028" i="53"/>
  <c r="K3027" i="53"/>
  <c r="K3026" i="53"/>
  <c r="K3025" i="53"/>
  <c r="K3024" i="53"/>
  <c r="K3023" i="53"/>
  <c r="K3022" i="53"/>
  <c r="K3021" i="53"/>
  <c r="K3020" i="53"/>
  <c r="K3019" i="53"/>
  <c r="K3018" i="53"/>
  <c r="K3017" i="53"/>
  <c r="K3016" i="53"/>
  <c r="K3015" i="53"/>
  <c r="K3014" i="53"/>
  <c r="K3013" i="53"/>
  <c r="K3012" i="53"/>
  <c r="K3011" i="53"/>
  <c r="K3010" i="53"/>
  <c r="K3009" i="53"/>
  <c r="K3008" i="53"/>
  <c r="K3007" i="53"/>
  <c r="K3006" i="53"/>
  <c r="K3005" i="53"/>
  <c r="K3004" i="53"/>
  <c r="K3003" i="53"/>
  <c r="K3002" i="53"/>
  <c r="K3001" i="53"/>
  <c r="K3000" i="53"/>
  <c r="K2999" i="53"/>
  <c r="K2998" i="53"/>
  <c r="K2997" i="53"/>
  <c r="K2996" i="53"/>
  <c r="K2995" i="53"/>
  <c r="K2994" i="53"/>
  <c r="K2993" i="53"/>
  <c r="K2992" i="53"/>
  <c r="K2991" i="53"/>
  <c r="K2990" i="53"/>
  <c r="K2989" i="53"/>
  <c r="K2988" i="53"/>
  <c r="K2987" i="53"/>
  <c r="K2986" i="53"/>
  <c r="K2985" i="53"/>
  <c r="K2984" i="53"/>
  <c r="K2983" i="53"/>
  <c r="K2982" i="53"/>
  <c r="K2981" i="53"/>
  <c r="K2980" i="53"/>
  <c r="K2979" i="53"/>
  <c r="K2978" i="53"/>
  <c r="K2977" i="53"/>
  <c r="K2976" i="53"/>
  <c r="K2975" i="53"/>
  <c r="K2974" i="53"/>
  <c r="K2973" i="53"/>
  <c r="K2972" i="53"/>
  <c r="K2971" i="53"/>
  <c r="K2970" i="53"/>
  <c r="K2969" i="53"/>
  <c r="K2968" i="53"/>
  <c r="K2967" i="53"/>
  <c r="K2966" i="53"/>
  <c r="K2965" i="53"/>
  <c r="K2964" i="53"/>
  <c r="K2963" i="53"/>
  <c r="K2962" i="53"/>
  <c r="K2961" i="53"/>
  <c r="K2960" i="53"/>
  <c r="K2959" i="53"/>
  <c r="K2958" i="53"/>
  <c r="K2957" i="53"/>
  <c r="K2956" i="53"/>
  <c r="K2955" i="53"/>
  <c r="K2954" i="53"/>
  <c r="K2953" i="53"/>
  <c r="K2952" i="53"/>
  <c r="K2951" i="53"/>
  <c r="K2950" i="53"/>
  <c r="K2949" i="53"/>
  <c r="K2948" i="53"/>
  <c r="K2947" i="53"/>
  <c r="K2946" i="53"/>
  <c r="K2945" i="53"/>
  <c r="K2944" i="53"/>
  <c r="K2943" i="53"/>
  <c r="K2942" i="53"/>
  <c r="K2941" i="53"/>
  <c r="K2940" i="53"/>
  <c r="K2939" i="53"/>
  <c r="K2938" i="53"/>
  <c r="K2937" i="53"/>
  <c r="K2936" i="53"/>
  <c r="K2935" i="53"/>
  <c r="K2934" i="53"/>
  <c r="K2933" i="53"/>
  <c r="K2932" i="53"/>
  <c r="K2931" i="53"/>
  <c r="K2930" i="53"/>
  <c r="K2929" i="53"/>
  <c r="K2928" i="53"/>
  <c r="K2927" i="53"/>
  <c r="K2926" i="53"/>
  <c r="K2925" i="53"/>
  <c r="K2924" i="53"/>
  <c r="K2923" i="53"/>
  <c r="K2922" i="53"/>
  <c r="K2921" i="53"/>
  <c r="K2920" i="53"/>
  <c r="K2919" i="53"/>
  <c r="K2918" i="53"/>
  <c r="K2917" i="53"/>
  <c r="K2916" i="53"/>
  <c r="K2915" i="53"/>
  <c r="K2914" i="53"/>
  <c r="K2913" i="53"/>
  <c r="K2912" i="53"/>
  <c r="K2911" i="53"/>
  <c r="K2910" i="53"/>
  <c r="K2909" i="53"/>
  <c r="K2908" i="53"/>
  <c r="K2907" i="53"/>
  <c r="K2906" i="53"/>
  <c r="K2905" i="53"/>
  <c r="K2904" i="53"/>
  <c r="K2903" i="53"/>
  <c r="K2902" i="53"/>
  <c r="K2901" i="53"/>
  <c r="K2900" i="53"/>
  <c r="K2899" i="53"/>
  <c r="K2898" i="53"/>
  <c r="K2897" i="53"/>
  <c r="K2896" i="53"/>
  <c r="K2895" i="53"/>
  <c r="K2894" i="53"/>
  <c r="K2893" i="53"/>
  <c r="K2892" i="53"/>
  <c r="K2891" i="53"/>
  <c r="K2890" i="53"/>
  <c r="K2889" i="53"/>
  <c r="K2888" i="53"/>
  <c r="K2887" i="53"/>
  <c r="K2886" i="53"/>
  <c r="K2885" i="53"/>
  <c r="K2884" i="53"/>
  <c r="K2883" i="53"/>
  <c r="K2882" i="53"/>
  <c r="K2881" i="53"/>
  <c r="K2880" i="53"/>
  <c r="K2879" i="53"/>
  <c r="K2878" i="53"/>
  <c r="K2877" i="53"/>
  <c r="K2876" i="53"/>
  <c r="K2875" i="53"/>
  <c r="K2874" i="53"/>
  <c r="K2873" i="53"/>
  <c r="K2872" i="53"/>
  <c r="K2871" i="53"/>
  <c r="K2870" i="53"/>
  <c r="K2869" i="53"/>
  <c r="K2868" i="53"/>
  <c r="K2867" i="53"/>
  <c r="K2866" i="53"/>
  <c r="K2865" i="53"/>
  <c r="K2864" i="53"/>
  <c r="K2863" i="53"/>
  <c r="K2862" i="53"/>
  <c r="K2861" i="53"/>
  <c r="K2860" i="53"/>
  <c r="K2859" i="53"/>
  <c r="K2858" i="53"/>
  <c r="K2857" i="53"/>
  <c r="K2856" i="53"/>
  <c r="K2855" i="53"/>
  <c r="K2854" i="53"/>
  <c r="K2853" i="53"/>
  <c r="K2852" i="53"/>
  <c r="K2851" i="53"/>
  <c r="K2850" i="53"/>
  <c r="K2849" i="53"/>
  <c r="K2848" i="53"/>
  <c r="K2847" i="53"/>
  <c r="K2846" i="53"/>
  <c r="K2845" i="53"/>
  <c r="K2844" i="53"/>
  <c r="K2843" i="53"/>
  <c r="K2842" i="53"/>
  <c r="K2841" i="53"/>
  <c r="K2840" i="53"/>
  <c r="K2839" i="53"/>
  <c r="K2838" i="53"/>
  <c r="K2837" i="53"/>
  <c r="K2836" i="53"/>
  <c r="K2835" i="53"/>
  <c r="K2834" i="53"/>
  <c r="K2833" i="53"/>
  <c r="K2832" i="53"/>
  <c r="K2831" i="53"/>
  <c r="K2830" i="53"/>
  <c r="K2829" i="53"/>
  <c r="K2828" i="53"/>
  <c r="K2827" i="53"/>
  <c r="K2826" i="53"/>
  <c r="K2825" i="53"/>
  <c r="K2824" i="53"/>
  <c r="K2823" i="53"/>
  <c r="K2822" i="53"/>
  <c r="K2821" i="53"/>
  <c r="K2820" i="53"/>
  <c r="K2819" i="53"/>
  <c r="K2818" i="53"/>
  <c r="K2817" i="53"/>
  <c r="K2816" i="53"/>
  <c r="K2815" i="53"/>
  <c r="K2814" i="53"/>
  <c r="K2813" i="53"/>
  <c r="K2812" i="53"/>
  <c r="K2811" i="53"/>
  <c r="K2810" i="53"/>
  <c r="K2809" i="53"/>
  <c r="K2808" i="53"/>
  <c r="K2807" i="53"/>
  <c r="K2806" i="53"/>
  <c r="K2805" i="53"/>
  <c r="K2804" i="53"/>
  <c r="K2803" i="53"/>
  <c r="K2802" i="53"/>
  <c r="K2801" i="53"/>
  <c r="K2800" i="53"/>
  <c r="K2799" i="53"/>
  <c r="K2798" i="53"/>
  <c r="K2797" i="53"/>
  <c r="K2796" i="53"/>
  <c r="K2795" i="53"/>
  <c r="K2794" i="53"/>
  <c r="K2793" i="53"/>
  <c r="K2792" i="53"/>
  <c r="K2791" i="53"/>
  <c r="K2790" i="53"/>
  <c r="K2789" i="53"/>
  <c r="K2788" i="53"/>
  <c r="K2787" i="53"/>
  <c r="K2786" i="53"/>
  <c r="K2785" i="53"/>
  <c r="K2784" i="53"/>
  <c r="K2783" i="53"/>
  <c r="K2782" i="53"/>
  <c r="K2781" i="53"/>
  <c r="K2780" i="53"/>
  <c r="K2779" i="53"/>
  <c r="K2778" i="53"/>
  <c r="K2777" i="53"/>
  <c r="K2776" i="53"/>
  <c r="K2775" i="53"/>
  <c r="K2774" i="53"/>
  <c r="K2773" i="53"/>
  <c r="K2772" i="53"/>
  <c r="K2771" i="53"/>
  <c r="K2770" i="53"/>
  <c r="K2769" i="53"/>
  <c r="K2768" i="53"/>
  <c r="K2767" i="53"/>
  <c r="K2766" i="53"/>
  <c r="K2765" i="53"/>
  <c r="K2764" i="53"/>
  <c r="K2763" i="53"/>
  <c r="K2762" i="53"/>
  <c r="K2761" i="53"/>
  <c r="K2760" i="53"/>
  <c r="K2759" i="53"/>
  <c r="K2758" i="53"/>
  <c r="K2757" i="53"/>
  <c r="K2756" i="53"/>
  <c r="K2755" i="53"/>
  <c r="K2754" i="53"/>
  <c r="K2753" i="53"/>
  <c r="K2752" i="53"/>
  <c r="K2751" i="53"/>
  <c r="K2750" i="53"/>
  <c r="K2749" i="53"/>
  <c r="K2748" i="53"/>
  <c r="K2747" i="53"/>
  <c r="K2746" i="53"/>
  <c r="K2745" i="53"/>
  <c r="K2744" i="53"/>
  <c r="K2743" i="53"/>
  <c r="K2742" i="53"/>
  <c r="K2741" i="53"/>
  <c r="K2740" i="53"/>
  <c r="K2739" i="53"/>
  <c r="K2738" i="53"/>
  <c r="K2737" i="53"/>
  <c r="K2736" i="53"/>
  <c r="K2735" i="53"/>
  <c r="K2734" i="53"/>
  <c r="K2733" i="53"/>
  <c r="K2732" i="53"/>
  <c r="K2731" i="53"/>
  <c r="K2730" i="53"/>
  <c r="K2729" i="53"/>
  <c r="K2728" i="53"/>
  <c r="K2727" i="53"/>
  <c r="K2726" i="53"/>
  <c r="K2725" i="53"/>
  <c r="K2724" i="53"/>
  <c r="K2723" i="53"/>
  <c r="K2722" i="53"/>
  <c r="K2721" i="53"/>
  <c r="K2720" i="53"/>
  <c r="K2719" i="53"/>
  <c r="K2718" i="53"/>
  <c r="K2717" i="53"/>
  <c r="K2716" i="53"/>
  <c r="K2715" i="53"/>
  <c r="K2714" i="53"/>
  <c r="K2713" i="53"/>
  <c r="K2712" i="53"/>
  <c r="K2711" i="53"/>
  <c r="K2710" i="53"/>
  <c r="K2709" i="53"/>
  <c r="K2708" i="53"/>
  <c r="K2707" i="53"/>
  <c r="K2706" i="53"/>
  <c r="K2705" i="53"/>
  <c r="K2704" i="53"/>
  <c r="K2703" i="53"/>
  <c r="K2702" i="53"/>
  <c r="K2701" i="53"/>
  <c r="K2700" i="53"/>
  <c r="K2699" i="53"/>
  <c r="K2698" i="53"/>
  <c r="K2697" i="53"/>
  <c r="K2696" i="53"/>
  <c r="K2695" i="53"/>
  <c r="K2694" i="53"/>
  <c r="K2693" i="53"/>
  <c r="K2692" i="53"/>
  <c r="K2691" i="53"/>
  <c r="K2690" i="53"/>
  <c r="K2689" i="53"/>
  <c r="K2688" i="53"/>
  <c r="K2687" i="53"/>
  <c r="K2686" i="53"/>
  <c r="K2685" i="53"/>
  <c r="K2684" i="53"/>
  <c r="K2683" i="53"/>
  <c r="K2682" i="53"/>
  <c r="K2681" i="53"/>
  <c r="K2680" i="53"/>
  <c r="K2679" i="53"/>
  <c r="K2678" i="53"/>
  <c r="K2677" i="53"/>
  <c r="K2676" i="53"/>
  <c r="K2675" i="53"/>
  <c r="K2674" i="53"/>
  <c r="K2673" i="53"/>
  <c r="K2672" i="53"/>
  <c r="K2671" i="53"/>
  <c r="K2670" i="53"/>
  <c r="K2669" i="53"/>
  <c r="K2668" i="53"/>
  <c r="K2667" i="53"/>
  <c r="K2666" i="53"/>
  <c r="K2665" i="53"/>
  <c r="K2664" i="53"/>
  <c r="K2663" i="53"/>
  <c r="K2662" i="53"/>
  <c r="K2661" i="53"/>
  <c r="K2660" i="53"/>
  <c r="K2659" i="53"/>
  <c r="K2658" i="53"/>
  <c r="K2657" i="53"/>
  <c r="K2656" i="53"/>
  <c r="K2655" i="53"/>
  <c r="K2654" i="53"/>
  <c r="K2653" i="53"/>
  <c r="K2652" i="53"/>
  <c r="K2651" i="53"/>
  <c r="K2650" i="53"/>
  <c r="K2649" i="53"/>
  <c r="K2648" i="53"/>
  <c r="K2647" i="53"/>
  <c r="K2646" i="53"/>
  <c r="K2645" i="53"/>
  <c r="K2644" i="53"/>
  <c r="K2643" i="53"/>
  <c r="K2642" i="53"/>
  <c r="K2641" i="53"/>
  <c r="K2640" i="53"/>
  <c r="K2639" i="53"/>
  <c r="K2638" i="53"/>
  <c r="K2637" i="53"/>
  <c r="K2636" i="53"/>
  <c r="K2635" i="53"/>
  <c r="K2634" i="53"/>
  <c r="K2633" i="53"/>
  <c r="K2632" i="53"/>
  <c r="K2631" i="53"/>
  <c r="K2630" i="53"/>
  <c r="K2629" i="53"/>
  <c r="K2628" i="53"/>
  <c r="K2627" i="53"/>
  <c r="K2626" i="53"/>
  <c r="K2625" i="53"/>
  <c r="K2624" i="53"/>
  <c r="K2623" i="53"/>
  <c r="K2622" i="53"/>
  <c r="K2621" i="53"/>
  <c r="K2620" i="53"/>
  <c r="K2619" i="53"/>
  <c r="K2618" i="53"/>
  <c r="K2617" i="53"/>
  <c r="K2616" i="53"/>
  <c r="K2615" i="53"/>
  <c r="K2614" i="53"/>
  <c r="K2613" i="53"/>
  <c r="K2612" i="53"/>
  <c r="K2611" i="53"/>
  <c r="K2610" i="53"/>
  <c r="K2609" i="53"/>
  <c r="K2608" i="53"/>
  <c r="K2607" i="53"/>
  <c r="K2606" i="53"/>
  <c r="K2605" i="53"/>
  <c r="K2604" i="53"/>
  <c r="K2603" i="53"/>
  <c r="K2602" i="53"/>
  <c r="K2601" i="53"/>
  <c r="K2600" i="53"/>
  <c r="K2599" i="53"/>
  <c r="K2598" i="53"/>
  <c r="K2597" i="53"/>
  <c r="K2596" i="53"/>
  <c r="K2595" i="53"/>
  <c r="K2594" i="53"/>
  <c r="K2593" i="53"/>
  <c r="K2592" i="53"/>
  <c r="K2591" i="53"/>
  <c r="K2590" i="53"/>
  <c r="K2589" i="53"/>
  <c r="K2588" i="53"/>
  <c r="K2587" i="53"/>
  <c r="K2586" i="53"/>
  <c r="K2585" i="53"/>
  <c r="K2584" i="53"/>
  <c r="K2583" i="53"/>
  <c r="K2582" i="53"/>
  <c r="K2581" i="53"/>
  <c r="K2580" i="53"/>
  <c r="K2579" i="53"/>
  <c r="K2578" i="53"/>
  <c r="K2577" i="53"/>
  <c r="K2576" i="53"/>
  <c r="K2575" i="53"/>
  <c r="K2574" i="53"/>
  <c r="K2573" i="53"/>
  <c r="K2572" i="53"/>
  <c r="K2571" i="53"/>
  <c r="K2570" i="53"/>
  <c r="K2569" i="53"/>
  <c r="K2568" i="53"/>
  <c r="K2567" i="53"/>
  <c r="K2566" i="53"/>
  <c r="K2565" i="53"/>
  <c r="K2564" i="53"/>
  <c r="K2563" i="53"/>
  <c r="K2562" i="53"/>
  <c r="K2561" i="53"/>
  <c r="K2560" i="53"/>
  <c r="K2559" i="53"/>
  <c r="K2558" i="53"/>
  <c r="K2557" i="53"/>
  <c r="K2556" i="53"/>
  <c r="K2555" i="53"/>
  <c r="K2554" i="53"/>
  <c r="K2553" i="53"/>
  <c r="K2552" i="53"/>
  <c r="K2551" i="53"/>
  <c r="K2550" i="53"/>
  <c r="K2549" i="53"/>
  <c r="K2548" i="53"/>
  <c r="K2547" i="53"/>
  <c r="K2546" i="53"/>
  <c r="K2545" i="53"/>
  <c r="K2544" i="53"/>
  <c r="K2543" i="53"/>
  <c r="K2542" i="53"/>
  <c r="K2541" i="53"/>
  <c r="K2540" i="53"/>
  <c r="K2539" i="53"/>
  <c r="K2538" i="53"/>
  <c r="K2537" i="53"/>
  <c r="K2536" i="53"/>
  <c r="K2535" i="53"/>
  <c r="K2534" i="53"/>
  <c r="K2533" i="53"/>
  <c r="K2532" i="53"/>
  <c r="K2531" i="53"/>
  <c r="K2530" i="53"/>
  <c r="K2529" i="53"/>
  <c r="K2528" i="53"/>
  <c r="K2527" i="53"/>
  <c r="K2526" i="53"/>
  <c r="K2525" i="53"/>
  <c r="K2524" i="53"/>
  <c r="K2523" i="53"/>
  <c r="K2522" i="53"/>
  <c r="K2521" i="53"/>
  <c r="K2520" i="53"/>
  <c r="K2519" i="53"/>
  <c r="K2518" i="53"/>
  <c r="K2517" i="53"/>
  <c r="K2516" i="53"/>
  <c r="K2515" i="53"/>
  <c r="K2514" i="53"/>
  <c r="K2513" i="53"/>
  <c r="K2512" i="53"/>
  <c r="K2511" i="53"/>
  <c r="K2510" i="53"/>
  <c r="K2509" i="53"/>
  <c r="K2508" i="53"/>
  <c r="K2507" i="53"/>
  <c r="K2506" i="53"/>
  <c r="K2505" i="53"/>
  <c r="K2504" i="53"/>
  <c r="K2503" i="53"/>
  <c r="K2502" i="53"/>
  <c r="K2501" i="53"/>
  <c r="K2500" i="53"/>
  <c r="K2499" i="53"/>
  <c r="K2498" i="53"/>
  <c r="K2497" i="53"/>
  <c r="K2496" i="53"/>
  <c r="K2495" i="53"/>
  <c r="K2494" i="53"/>
  <c r="K2493" i="53"/>
  <c r="K2492" i="53"/>
  <c r="K2491" i="53"/>
  <c r="K2490" i="53"/>
  <c r="K2489" i="53"/>
  <c r="K2488" i="53"/>
  <c r="K2487" i="53"/>
  <c r="K2486" i="53"/>
  <c r="K2485" i="53"/>
  <c r="K2484" i="53"/>
  <c r="K2483" i="53"/>
  <c r="K2482" i="53"/>
  <c r="K2481" i="53"/>
  <c r="K2480" i="53"/>
  <c r="K2479" i="53"/>
  <c r="K2478" i="53"/>
  <c r="K2477" i="53"/>
  <c r="K2476" i="53"/>
  <c r="K2475" i="53"/>
  <c r="K2474" i="53"/>
  <c r="K2473" i="53"/>
  <c r="K2472" i="53"/>
  <c r="K2471" i="53"/>
  <c r="K2470" i="53"/>
  <c r="K2469" i="53"/>
  <c r="K2468" i="53"/>
  <c r="K2467" i="53"/>
  <c r="K2466" i="53"/>
  <c r="K2465" i="53"/>
  <c r="K2464" i="53"/>
  <c r="K2463" i="53"/>
  <c r="K2462" i="53"/>
  <c r="K2461" i="53"/>
  <c r="K2460" i="53"/>
  <c r="K2459" i="53"/>
  <c r="K2458" i="53"/>
  <c r="K2457" i="53"/>
  <c r="K2456" i="53"/>
  <c r="K2455" i="53"/>
  <c r="K2454" i="53"/>
  <c r="K2453" i="53"/>
  <c r="K2452" i="53"/>
  <c r="K2451" i="53"/>
  <c r="K2450" i="53"/>
  <c r="K2449" i="53"/>
  <c r="K2448" i="53"/>
  <c r="K2447" i="53"/>
  <c r="K2446" i="53"/>
  <c r="K2445" i="53"/>
  <c r="K2444" i="53"/>
  <c r="K2443" i="53"/>
  <c r="K2442" i="53"/>
  <c r="K2441" i="53"/>
  <c r="K2440" i="53"/>
  <c r="K2439" i="53"/>
  <c r="K2438" i="53"/>
  <c r="K2437" i="53"/>
  <c r="K2436" i="53"/>
  <c r="K2435" i="53"/>
  <c r="K2434" i="53"/>
  <c r="K2433" i="53"/>
  <c r="K2432" i="53"/>
  <c r="K2431" i="53"/>
  <c r="K2430" i="53"/>
  <c r="K2429" i="53"/>
  <c r="K2428" i="53"/>
  <c r="K2427" i="53"/>
  <c r="K2426" i="53"/>
  <c r="K2425" i="53"/>
  <c r="K2424" i="53"/>
  <c r="K2423" i="53"/>
  <c r="K2422" i="53"/>
  <c r="K2421" i="53"/>
  <c r="K2420" i="53"/>
  <c r="K2419" i="53"/>
  <c r="K2418" i="53"/>
  <c r="K2417" i="53"/>
  <c r="K2416" i="53"/>
  <c r="K2415" i="53"/>
  <c r="K2414" i="53"/>
  <c r="K2413" i="53"/>
  <c r="K2412" i="53"/>
  <c r="K2411" i="53"/>
  <c r="K2410" i="53"/>
  <c r="K2409" i="53"/>
  <c r="K2408" i="53"/>
  <c r="K2407" i="53"/>
  <c r="K2406" i="53"/>
  <c r="K2405" i="53"/>
  <c r="K2404" i="53"/>
  <c r="K2403" i="53"/>
  <c r="K2402" i="53"/>
  <c r="K2401" i="53"/>
  <c r="K2400" i="53"/>
  <c r="K2399" i="53"/>
  <c r="K2398" i="53"/>
  <c r="K2397" i="53"/>
  <c r="K2396" i="53"/>
  <c r="K2395" i="53"/>
  <c r="K2394" i="53"/>
  <c r="K2393" i="53"/>
  <c r="K2392" i="53"/>
  <c r="K2391" i="53"/>
  <c r="K2390" i="53"/>
  <c r="K2389" i="53"/>
  <c r="K2388" i="53"/>
  <c r="K2387" i="53"/>
  <c r="K2386" i="53"/>
  <c r="K2385" i="53"/>
  <c r="K2384" i="53"/>
  <c r="K2383" i="53"/>
  <c r="K2382" i="53"/>
  <c r="K2381" i="53"/>
  <c r="K2380" i="53"/>
  <c r="K2379" i="53"/>
  <c r="K2378" i="53"/>
  <c r="K2377" i="53"/>
  <c r="K2376" i="53"/>
  <c r="K2375" i="53"/>
  <c r="K2374" i="53"/>
  <c r="K2373" i="53"/>
  <c r="K2372" i="53"/>
  <c r="K2371" i="53"/>
  <c r="K2370" i="53"/>
  <c r="K2369" i="53"/>
  <c r="K2368" i="53"/>
  <c r="K2367" i="53"/>
  <c r="K2366" i="53"/>
  <c r="K2365" i="53"/>
  <c r="K2364" i="53"/>
  <c r="K2363" i="53"/>
  <c r="K2362" i="53"/>
  <c r="K2361" i="53"/>
  <c r="K2360" i="53"/>
  <c r="K2359" i="53"/>
  <c r="K2358" i="53"/>
  <c r="K2357" i="53"/>
  <c r="K2356" i="53"/>
  <c r="K2355" i="53"/>
  <c r="K2354" i="53"/>
  <c r="K2353" i="53"/>
  <c r="K2352" i="53"/>
  <c r="K2351" i="53"/>
  <c r="K2350" i="53"/>
  <c r="K2349" i="53"/>
  <c r="K2348" i="53"/>
  <c r="K2347" i="53"/>
  <c r="K2346" i="53"/>
  <c r="K2345" i="53"/>
  <c r="K2344" i="53"/>
  <c r="K2343" i="53"/>
  <c r="K2342" i="53"/>
  <c r="K2341" i="53"/>
  <c r="K2340" i="53"/>
  <c r="K2339" i="53"/>
  <c r="K2338" i="53"/>
  <c r="K2337" i="53"/>
  <c r="K2336" i="53"/>
  <c r="K2335" i="53"/>
  <c r="K2334" i="53"/>
  <c r="K2333" i="53"/>
  <c r="K2332" i="53"/>
  <c r="K2331" i="53"/>
  <c r="K2330" i="53"/>
  <c r="K2329" i="53"/>
  <c r="K2328" i="53"/>
  <c r="K2327" i="53"/>
  <c r="K2326" i="53"/>
  <c r="K2325" i="53"/>
  <c r="K2324" i="53"/>
  <c r="K2323" i="53"/>
  <c r="K2322" i="53"/>
  <c r="K2321" i="53"/>
  <c r="K2320" i="53"/>
  <c r="K2319" i="53"/>
  <c r="K2318" i="53"/>
  <c r="K2317" i="53"/>
  <c r="K2316" i="53"/>
  <c r="K2315" i="53"/>
  <c r="K2314" i="53"/>
  <c r="K2313" i="53"/>
  <c r="K2312" i="53"/>
  <c r="K2311" i="53"/>
  <c r="K2310" i="53"/>
  <c r="K2309" i="53"/>
  <c r="K2308" i="53"/>
  <c r="K2307" i="53"/>
  <c r="K2306" i="53"/>
  <c r="K2305" i="53"/>
  <c r="K2304" i="53"/>
  <c r="K2303" i="53"/>
  <c r="K2302" i="53"/>
  <c r="K2301" i="53"/>
  <c r="K2300" i="53"/>
  <c r="K2299" i="53"/>
  <c r="K2298" i="53"/>
  <c r="K2297" i="53"/>
  <c r="K2296" i="53"/>
  <c r="K2295" i="53"/>
  <c r="K2294" i="53"/>
  <c r="K2293" i="53"/>
  <c r="K2292" i="53"/>
  <c r="K2291" i="53"/>
  <c r="K2290" i="53"/>
  <c r="K2289" i="53"/>
  <c r="K2288" i="53"/>
  <c r="K2287" i="53"/>
  <c r="K2286" i="53"/>
  <c r="K2285" i="53"/>
  <c r="K2284" i="53"/>
  <c r="K2283" i="53"/>
  <c r="K2282" i="53"/>
  <c r="K2281" i="53"/>
  <c r="K2280" i="53"/>
  <c r="K2279" i="53"/>
  <c r="K2278" i="53"/>
  <c r="K2277" i="53"/>
  <c r="K2276" i="53"/>
  <c r="K2275" i="53"/>
  <c r="K2274" i="53"/>
  <c r="K2273" i="53"/>
  <c r="K2272" i="53"/>
  <c r="K2271" i="53"/>
  <c r="K2270" i="53"/>
  <c r="K2269" i="53"/>
  <c r="K2268" i="53"/>
  <c r="K2267" i="53"/>
  <c r="K2266" i="53"/>
  <c r="K2265" i="53"/>
  <c r="K2264" i="53"/>
  <c r="K2263" i="53"/>
  <c r="K2262" i="53"/>
  <c r="K2261" i="53"/>
  <c r="K2260" i="53"/>
  <c r="K2259" i="53"/>
  <c r="K2258" i="53"/>
  <c r="K2257" i="53"/>
  <c r="K2256" i="53"/>
  <c r="K2255" i="53"/>
  <c r="K2254" i="53"/>
  <c r="K2253" i="53"/>
  <c r="K2252" i="53"/>
  <c r="K2251" i="53"/>
  <c r="K2250" i="53"/>
  <c r="K2249" i="53"/>
  <c r="K2248" i="53"/>
  <c r="K2247" i="53"/>
  <c r="K2246" i="53"/>
  <c r="K2245" i="53"/>
  <c r="K2244" i="53"/>
  <c r="K2243" i="53"/>
  <c r="K2242" i="53"/>
  <c r="K2241" i="53"/>
  <c r="K2240" i="53"/>
  <c r="K2239" i="53"/>
  <c r="K2238" i="53"/>
  <c r="K2237" i="53"/>
  <c r="K2236" i="53"/>
  <c r="K2235" i="53"/>
  <c r="K2234" i="53"/>
  <c r="K2233" i="53"/>
  <c r="K2232" i="53"/>
  <c r="K2231" i="53"/>
  <c r="K2230" i="53"/>
  <c r="K2229" i="53"/>
  <c r="K2228" i="53"/>
  <c r="K2227" i="53"/>
  <c r="K2226" i="53"/>
  <c r="K2225" i="53"/>
  <c r="K2224" i="53"/>
  <c r="K2223" i="53"/>
  <c r="K2222" i="53"/>
  <c r="K2221" i="53"/>
  <c r="K2220" i="53"/>
  <c r="K2219" i="53"/>
  <c r="K2218" i="53"/>
  <c r="K2217" i="53"/>
  <c r="K2216" i="53"/>
  <c r="K2215" i="53"/>
  <c r="K2214" i="53"/>
  <c r="K2213" i="53"/>
  <c r="K2212" i="53"/>
  <c r="K2211" i="53"/>
  <c r="K2210" i="53"/>
  <c r="K2209" i="53"/>
  <c r="K2208" i="53"/>
  <c r="K2207" i="53"/>
  <c r="K2206" i="53"/>
  <c r="K2205" i="53"/>
  <c r="K2204" i="53"/>
  <c r="K2203" i="53"/>
  <c r="K2202" i="53"/>
  <c r="K2201" i="53"/>
  <c r="K2200" i="53"/>
  <c r="K2199" i="53"/>
  <c r="K2198" i="53"/>
  <c r="K2197" i="53"/>
  <c r="K2196" i="53"/>
  <c r="K2195" i="53"/>
  <c r="K2194" i="53"/>
  <c r="K2193" i="53"/>
  <c r="K2192" i="53"/>
  <c r="K2191" i="53"/>
  <c r="K2190" i="53"/>
  <c r="K2189" i="53"/>
  <c r="K2188" i="53"/>
  <c r="K2187" i="53"/>
  <c r="K2186" i="53"/>
  <c r="K2185" i="53"/>
  <c r="K2184" i="53"/>
  <c r="K2183" i="53"/>
  <c r="K2182" i="53"/>
  <c r="K2181" i="53"/>
  <c r="K2180" i="53"/>
  <c r="K2179" i="53"/>
  <c r="K2178" i="53"/>
  <c r="K2177" i="53"/>
  <c r="K2176" i="53"/>
  <c r="K2175" i="53"/>
  <c r="K2174" i="53"/>
  <c r="K2173" i="53"/>
  <c r="K2172" i="53"/>
  <c r="K2171" i="53"/>
  <c r="K2170" i="53"/>
  <c r="K2169" i="53"/>
  <c r="K2168" i="53"/>
  <c r="K2167" i="53"/>
  <c r="K2166" i="53"/>
  <c r="K2165" i="53"/>
  <c r="K2164" i="53"/>
  <c r="K2163" i="53"/>
  <c r="K2162" i="53"/>
  <c r="K2161" i="53"/>
  <c r="K2160" i="53"/>
  <c r="K2159" i="53"/>
  <c r="K2158" i="53"/>
  <c r="K2157" i="53"/>
  <c r="K2156" i="53"/>
  <c r="K2155" i="53"/>
  <c r="K2154" i="53"/>
  <c r="K2153" i="53"/>
  <c r="K2152" i="53"/>
  <c r="K2151" i="53"/>
  <c r="K2150" i="53"/>
  <c r="K2149" i="53"/>
  <c r="K2148" i="53"/>
  <c r="K2147" i="53"/>
  <c r="K2146" i="53"/>
  <c r="K2145" i="53"/>
  <c r="K2144" i="53"/>
  <c r="K2143" i="53"/>
  <c r="K2142" i="53"/>
  <c r="K2141" i="53"/>
  <c r="K2140" i="53"/>
  <c r="K2139" i="53"/>
  <c r="K2138" i="53"/>
  <c r="K2137" i="53"/>
  <c r="K2136" i="53"/>
  <c r="K2135" i="53"/>
  <c r="K2134" i="53"/>
  <c r="K2133" i="53"/>
  <c r="K2132" i="53"/>
  <c r="K2131" i="53"/>
  <c r="K2130" i="53"/>
  <c r="K2129" i="53"/>
  <c r="K2128" i="53"/>
  <c r="K2127" i="53"/>
  <c r="K2126" i="53"/>
  <c r="K2125" i="53"/>
  <c r="K2124" i="53"/>
  <c r="K2123" i="53"/>
  <c r="K2122" i="53"/>
  <c r="K2121" i="53"/>
  <c r="K2120" i="53"/>
  <c r="K2119" i="53"/>
  <c r="K2118" i="53"/>
  <c r="K2117" i="53"/>
  <c r="K2116" i="53"/>
  <c r="K2115" i="53"/>
  <c r="K2114" i="53"/>
  <c r="K2113" i="53"/>
  <c r="K2112" i="53"/>
  <c r="K2111" i="53"/>
  <c r="K2110" i="53"/>
  <c r="K2109" i="53"/>
  <c r="K2108" i="53"/>
  <c r="K2107" i="53"/>
  <c r="K2106" i="53"/>
  <c r="K2105" i="53"/>
  <c r="K2104" i="53"/>
  <c r="K2103" i="53"/>
  <c r="K2102" i="53"/>
  <c r="K2101" i="53"/>
  <c r="K2100" i="53"/>
  <c r="K2099" i="53"/>
  <c r="K2098" i="53"/>
  <c r="K2097" i="53"/>
  <c r="K2096" i="53"/>
  <c r="K2095" i="53"/>
  <c r="K2094" i="53"/>
  <c r="K2093" i="53"/>
  <c r="K2092" i="53"/>
  <c r="K2091" i="53"/>
  <c r="K2090" i="53"/>
  <c r="K2089" i="53"/>
  <c r="K2088" i="53"/>
  <c r="K2087" i="53"/>
  <c r="K2086" i="53"/>
  <c r="K2085" i="53"/>
  <c r="K2084" i="53"/>
  <c r="K2083" i="53"/>
  <c r="K2082" i="53"/>
  <c r="K2081" i="53"/>
  <c r="K2080" i="53"/>
  <c r="K2079" i="53"/>
  <c r="K2078" i="53"/>
  <c r="K2077" i="53"/>
  <c r="K2076" i="53"/>
  <c r="K2075" i="53"/>
  <c r="K2074" i="53"/>
  <c r="K2073" i="53"/>
  <c r="K2072" i="53"/>
  <c r="K2071" i="53"/>
  <c r="K2070" i="53"/>
  <c r="K2069" i="53"/>
  <c r="K2068" i="53"/>
  <c r="K2067" i="53"/>
  <c r="K2066" i="53"/>
  <c r="K2065" i="53"/>
  <c r="K2064" i="53"/>
  <c r="K2063" i="53"/>
  <c r="K2062" i="53"/>
  <c r="K2061" i="53"/>
  <c r="K2060" i="53"/>
  <c r="K2059" i="53"/>
  <c r="K2058" i="53"/>
  <c r="K2057" i="53"/>
  <c r="K2056" i="53"/>
  <c r="K2055" i="53"/>
  <c r="K2054" i="53"/>
  <c r="K2053" i="53"/>
  <c r="K2052" i="53"/>
  <c r="K2051" i="53"/>
  <c r="K2050" i="53"/>
  <c r="K2049" i="53"/>
  <c r="K2048" i="53"/>
  <c r="K2047" i="53"/>
  <c r="K2046" i="53"/>
  <c r="K2045" i="53"/>
  <c r="K2044" i="53"/>
  <c r="K2043" i="53"/>
  <c r="K2042" i="53"/>
  <c r="K2041" i="53"/>
  <c r="K2040" i="53"/>
  <c r="K2039" i="53"/>
  <c r="K2038" i="53"/>
  <c r="K2037" i="53"/>
  <c r="K2036" i="53"/>
  <c r="K2035" i="53"/>
  <c r="K2034" i="53"/>
  <c r="K2033" i="53"/>
  <c r="K2032" i="53"/>
  <c r="K2031" i="53"/>
  <c r="K2030" i="53"/>
  <c r="K2029" i="53"/>
  <c r="K2028" i="53"/>
  <c r="K2027" i="53"/>
  <c r="K2026" i="53"/>
  <c r="K2025" i="53"/>
  <c r="K2024" i="53"/>
  <c r="K2023" i="53"/>
  <c r="K2022" i="53"/>
  <c r="K2021" i="53"/>
  <c r="K2020" i="53"/>
  <c r="K2019" i="53"/>
  <c r="K2018" i="53"/>
  <c r="K2017" i="53"/>
  <c r="K2016" i="53"/>
  <c r="K2015" i="53"/>
  <c r="K2014" i="53"/>
  <c r="K2013" i="53"/>
  <c r="K2012" i="53"/>
  <c r="K2011" i="53"/>
  <c r="K2010" i="53"/>
  <c r="K2009" i="53"/>
  <c r="K2008" i="53"/>
  <c r="K2007" i="53"/>
  <c r="K2006" i="53"/>
  <c r="K2005" i="53"/>
  <c r="K2004" i="53"/>
  <c r="K2003" i="53"/>
  <c r="K2002" i="53"/>
  <c r="K2001" i="53"/>
  <c r="K2000" i="53"/>
  <c r="K1999" i="53"/>
  <c r="K1998" i="53"/>
  <c r="K1997" i="53"/>
  <c r="K1996" i="53"/>
  <c r="K1995" i="53"/>
  <c r="K1994" i="53"/>
  <c r="K1993" i="53"/>
  <c r="K1992" i="53"/>
  <c r="K1991" i="53"/>
  <c r="K1990" i="53"/>
  <c r="K1989" i="53"/>
  <c r="K1988" i="53"/>
  <c r="K1987" i="53"/>
  <c r="K1986" i="53"/>
  <c r="K1985" i="53"/>
  <c r="K1984" i="53"/>
  <c r="K1983" i="53"/>
  <c r="K1982" i="53"/>
  <c r="K1981" i="53"/>
  <c r="K1980" i="53"/>
  <c r="K1979" i="53"/>
  <c r="K1978" i="53"/>
  <c r="K1977" i="53"/>
  <c r="K1976" i="53"/>
  <c r="K1975" i="53"/>
  <c r="K1974" i="53"/>
  <c r="K1973" i="53"/>
  <c r="K1972" i="53"/>
  <c r="K1971" i="53"/>
  <c r="K1970" i="53"/>
  <c r="K1969" i="53"/>
  <c r="K1968" i="53"/>
  <c r="K1967" i="53"/>
  <c r="K1966" i="53"/>
  <c r="K1965" i="53"/>
  <c r="K1964" i="53"/>
  <c r="K1963" i="53"/>
  <c r="K1962" i="53"/>
  <c r="K1961" i="53"/>
  <c r="K1960" i="53"/>
  <c r="K1959" i="53"/>
  <c r="K1958" i="53"/>
  <c r="K1957" i="53"/>
  <c r="K1956" i="53"/>
  <c r="K1955" i="53"/>
  <c r="K1954" i="53"/>
  <c r="K1953" i="53"/>
  <c r="K1952" i="53"/>
  <c r="K1951" i="53"/>
  <c r="K1950" i="53"/>
  <c r="K1949" i="53"/>
  <c r="K1948" i="53"/>
  <c r="K1947" i="53"/>
  <c r="K1946" i="53"/>
  <c r="K1945" i="53"/>
  <c r="K1944" i="53"/>
  <c r="K1943" i="53"/>
  <c r="K1942" i="53"/>
  <c r="K1941" i="53"/>
  <c r="K1940" i="53"/>
  <c r="K1939" i="53"/>
  <c r="K1938" i="53"/>
  <c r="K1937" i="53"/>
  <c r="K1936" i="53"/>
  <c r="K1935" i="53"/>
  <c r="K1934" i="53"/>
  <c r="K1933" i="53"/>
  <c r="K1932" i="53"/>
  <c r="K1931" i="53"/>
  <c r="K1930" i="53"/>
  <c r="K1929" i="53"/>
  <c r="K1928" i="53"/>
  <c r="K1927" i="53"/>
  <c r="K1926" i="53"/>
  <c r="K1925" i="53"/>
  <c r="K1924" i="53"/>
  <c r="K1923" i="53"/>
  <c r="K1922" i="53"/>
  <c r="K1921" i="53"/>
  <c r="K1920" i="53"/>
  <c r="K1919" i="53"/>
  <c r="K1918" i="53"/>
  <c r="K1917" i="53"/>
  <c r="K1916" i="53"/>
  <c r="K1915" i="53"/>
  <c r="K1914" i="53"/>
  <c r="K1913" i="53"/>
  <c r="K1912" i="53"/>
  <c r="K1911" i="53"/>
  <c r="K1910" i="53"/>
  <c r="K1909" i="53"/>
  <c r="K1908" i="53"/>
  <c r="K1907" i="53"/>
  <c r="K1906" i="53"/>
  <c r="K1905" i="53"/>
  <c r="K1904" i="53"/>
  <c r="K1903" i="53"/>
  <c r="K1902" i="53"/>
  <c r="K1901" i="53"/>
  <c r="K1900" i="53"/>
  <c r="K1899" i="53"/>
  <c r="K1898" i="53"/>
  <c r="K1897" i="53"/>
  <c r="K1896" i="53"/>
  <c r="K1895" i="53"/>
  <c r="K1894" i="53"/>
  <c r="K1893" i="53"/>
  <c r="K1892" i="53"/>
  <c r="K1891" i="53"/>
  <c r="K1890" i="53"/>
  <c r="K1889" i="53"/>
  <c r="K1888" i="53"/>
  <c r="K1887" i="53"/>
  <c r="K1886" i="53"/>
  <c r="K1885" i="53"/>
  <c r="K1884" i="53"/>
  <c r="K1883" i="53"/>
  <c r="K1882" i="53"/>
  <c r="K1881" i="53"/>
  <c r="K1880" i="53"/>
  <c r="K1879" i="53"/>
  <c r="K1878" i="53"/>
  <c r="K1877" i="53"/>
  <c r="K1876" i="53"/>
  <c r="K1875" i="53"/>
  <c r="K1874" i="53"/>
  <c r="K1873" i="53"/>
  <c r="K1872" i="53"/>
  <c r="K1871" i="53"/>
  <c r="K1870" i="53"/>
  <c r="K1869" i="53"/>
  <c r="K1868" i="53"/>
  <c r="K1867" i="53"/>
  <c r="K1866" i="53"/>
  <c r="K1865" i="53"/>
  <c r="K1864" i="53"/>
  <c r="K1863" i="53"/>
  <c r="K1862" i="53"/>
  <c r="K1861" i="53"/>
  <c r="K1860" i="53"/>
  <c r="K1859" i="53"/>
  <c r="K1858" i="53"/>
  <c r="K1857" i="53"/>
  <c r="K1856" i="53"/>
  <c r="K1855" i="53"/>
  <c r="K1854" i="53"/>
  <c r="K1853" i="53"/>
  <c r="K1852" i="53"/>
  <c r="K1851" i="53"/>
  <c r="K1850" i="53"/>
  <c r="K1849" i="53"/>
  <c r="K1848" i="53"/>
  <c r="K1847" i="53"/>
  <c r="K1846" i="53"/>
  <c r="K1845" i="53"/>
  <c r="K1844" i="53"/>
  <c r="K1843" i="53"/>
  <c r="K1842" i="53"/>
  <c r="K1841" i="53"/>
  <c r="K1840" i="53"/>
  <c r="K1839" i="53"/>
  <c r="K1838" i="53"/>
  <c r="K1837" i="53"/>
  <c r="K1836" i="53"/>
  <c r="K1835" i="53"/>
  <c r="K1834" i="53"/>
  <c r="K1833" i="53"/>
  <c r="K1832" i="53"/>
  <c r="K1831" i="53"/>
  <c r="K1830" i="53"/>
  <c r="K1829" i="53"/>
  <c r="K1828" i="53"/>
  <c r="K1827" i="53"/>
  <c r="K1826" i="53"/>
  <c r="K1825" i="53"/>
  <c r="K1824" i="53"/>
  <c r="K1823" i="53"/>
  <c r="K1822" i="53"/>
  <c r="K1821" i="53"/>
  <c r="K1820" i="53"/>
  <c r="K1819" i="53"/>
  <c r="K1818" i="53"/>
  <c r="K1817" i="53"/>
  <c r="K1816" i="53"/>
  <c r="K1815" i="53"/>
  <c r="K1814" i="53"/>
  <c r="K1813" i="53"/>
  <c r="K1812" i="53"/>
  <c r="K1811" i="53"/>
  <c r="K1810" i="53"/>
  <c r="K1809" i="53"/>
  <c r="K1808" i="53"/>
  <c r="K1807" i="53"/>
  <c r="K1806" i="53"/>
  <c r="K1805" i="53"/>
  <c r="K1804" i="53"/>
  <c r="K1803" i="53"/>
  <c r="K1802" i="53"/>
  <c r="K1801" i="53"/>
  <c r="K1800" i="53"/>
  <c r="K1799" i="53"/>
  <c r="K1798" i="53"/>
  <c r="K1797" i="53"/>
  <c r="K1796" i="53"/>
  <c r="K1795" i="53"/>
  <c r="K1794" i="53"/>
  <c r="K1793" i="53"/>
  <c r="K1792" i="53"/>
  <c r="K1791" i="53"/>
  <c r="K1790" i="53"/>
  <c r="K1789" i="53"/>
  <c r="K1788" i="53"/>
  <c r="K1787" i="53"/>
  <c r="K1786" i="53"/>
  <c r="K1785" i="53"/>
  <c r="K1784" i="53"/>
  <c r="K1783" i="53"/>
  <c r="K1782" i="53"/>
  <c r="K1781" i="53"/>
  <c r="K1780" i="53"/>
  <c r="K1779" i="53"/>
  <c r="K1778" i="53"/>
  <c r="K1777" i="53"/>
  <c r="K1776" i="53"/>
  <c r="K1775" i="53"/>
  <c r="K1774" i="53"/>
  <c r="K1773" i="53"/>
  <c r="K1772" i="53"/>
  <c r="K1771" i="53"/>
  <c r="K1770" i="53"/>
  <c r="K1769" i="53"/>
  <c r="K1768" i="53"/>
  <c r="K1767" i="53"/>
  <c r="K1766" i="53"/>
  <c r="K1765" i="53"/>
  <c r="K1764" i="53"/>
  <c r="K1763" i="53"/>
  <c r="K1762" i="53"/>
  <c r="K1761" i="53"/>
  <c r="K1760" i="53"/>
  <c r="K1759" i="53"/>
  <c r="K1758" i="53"/>
  <c r="K1757" i="53"/>
  <c r="K1756" i="53"/>
  <c r="K1755" i="53"/>
  <c r="K1754" i="53"/>
  <c r="K1753" i="53"/>
  <c r="K1752" i="53"/>
  <c r="K1751" i="53"/>
  <c r="K1750" i="53"/>
  <c r="K1749" i="53"/>
  <c r="K1748" i="53"/>
  <c r="K1747" i="53"/>
  <c r="K1746" i="53"/>
  <c r="K1745" i="53"/>
  <c r="K1744" i="53"/>
  <c r="K1743" i="53"/>
  <c r="K1742" i="53"/>
  <c r="K1741" i="53"/>
  <c r="K1740" i="53"/>
  <c r="K1739" i="53"/>
  <c r="K1738" i="53"/>
  <c r="K1737" i="53"/>
  <c r="K1736" i="53"/>
  <c r="K1735" i="53"/>
  <c r="K1734" i="53"/>
  <c r="K1733" i="53"/>
  <c r="K1732" i="53"/>
  <c r="K1731" i="53"/>
  <c r="K1730" i="53"/>
  <c r="K1729" i="53"/>
  <c r="K1728" i="53"/>
  <c r="K1727" i="53"/>
  <c r="K1726" i="53"/>
  <c r="K1725" i="53"/>
  <c r="K1724" i="53"/>
  <c r="K1723" i="53"/>
  <c r="K1722" i="53"/>
  <c r="K1721" i="53"/>
  <c r="K1720" i="53"/>
  <c r="K1719" i="53"/>
  <c r="K1718" i="53"/>
  <c r="K1717" i="53"/>
  <c r="K1716" i="53"/>
  <c r="K1715" i="53"/>
  <c r="K1714" i="53"/>
  <c r="K1713" i="53"/>
  <c r="K1712" i="53"/>
  <c r="K1711" i="53"/>
  <c r="K1710" i="53"/>
  <c r="K1709" i="53"/>
  <c r="K1708" i="53"/>
  <c r="K1707" i="53"/>
  <c r="K1706" i="53"/>
  <c r="K1705" i="53"/>
  <c r="K1704" i="53"/>
  <c r="K1703" i="53"/>
  <c r="K1702" i="53"/>
  <c r="K1701" i="53"/>
  <c r="K1700" i="53"/>
  <c r="K1699" i="53"/>
  <c r="K1698" i="53"/>
  <c r="K1697" i="53"/>
  <c r="K1696" i="53"/>
  <c r="K1695" i="53"/>
  <c r="K1694" i="53"/>
  <c r="K1693" i="53"/>
  <c r="K1692" i="53"/>
  <c r="K1691" i="53"/>
  <c r="K1690" i="53"/>
  <c r="K1689" i="53"/>
  <c r="K1688" i="53"/>
  <c r="K1687" i="53"/>
  <c r="K1686" i="53"/>
  <c r="K1685" i="53"/>
  <c r="K1684" i="53"/>
  <c r="K1683" i="53"/>
  <c r="K1682" i="53"/>
  <c r="K1681" i="53"/>
  <c r="K1680" i="53"/>
  <c r="K1679" i="53"/>
  <c r="K1678" i="53"/>
  <c r="K1677" i="53"/>
  <c r="K1676" i="53"/>
  <c r="K1675" i="53"/>
  <c r="K1674" i="53"/>
  <c r="K1673" i="53"/>
  <c r="K1672" i="53"/>
  <c r="K1671" i="53"/>
  <c r="K1670" i="53"/>
  <c r="K1669" i="53"/>
  <c r="K1668" i="53"/>
  <c r="K1667" i="53"/>
  <c r="K1666" i="53"/>
  <c r="K1665" i="53"/>
  <c r="K1664" i="53"/>
  <c r="K1663" i="53"/>
  <c r="K1662" i="53"/>
  <c r="K1661" i="53"/>
  <c r="K1660" i="53"/>
  <c r="K1659" i="53"/>
  <c r="K1658" i="53"/>
  <c r="K1657" i="53"/>
  <c r="K1656" i="53"/>
  <c r="K1655" i="53"/>
  <c r="K1654" i="53"/>
  <c r="K1653" i="53"/>
  <c r="K1652" i="53"/>
  <c r="K1651" i="53"/>
  <c r="K1650" i="53"/>
  <c r="K1649" i="53"/>
  <c r="K1648" i="53"/>
  <c r="K1647" i="53"/>
  <c r="K1646" i="53"/>
  <c r="K1645" i="53"/>
  <c r="K1644" i="53"/>
  <c r="K1643" i="53"/>
  <c r="K1642" i="53"/>
  <c r="K1641" i="53"/>
  <c r="K1640" i="53"/>
  <c r="K1639" i="53"/>
  <c r="K1638" i="53"/>
  <c r="K1637" i="53"/>
  <c r="K1636" i="53"/>
  <c r="K1635" i="53"/>
  <c r="K1634" i="53"/>
  <c r="K1633" i="53"/>
  <c r="K1632" i="53"/>
  <c r="K1631" i="53"/>
  <c r="K1630" i="53"/>
  <c r="K1629" i="53"/>
  <c r="K1628" i="53"/>
  <c r="K1627" i="53"/>
  <c r="K1626" i="53"/>
  <c r="K1625" i="53"/>
  <c r="K1624" i="53"/>
  <c r="K1623" i="53"/>
  <c r="K1622" i="53"/>
  <c r="K1621" i="53"/>
  <c r="K1620" i="53"/>
  <c r="K1619" i="53"/>
  <c r="K1618" i="53"/>
  <c r="K1617" i="53"/>
  <c r="K1616" i="53"/>
  <c r="K1615" i="53"/>
  <c r="K1614" i="53"/>
  <c r="K1613" i="53"/>
  <c r="K1612" i="53"/>
  <c r="K1611" i="53"/>
  <c r="K1610" i="53"/>
  <c r="K1609" i="53"/>
  <c r="K1608" i="53"/>
  <c r="K1607" i="53"/>
  <c r="K1606" i="53"/>
  <c r="K1605" i="53"/>
  <c r="K1604" i="53"/>
  <c r="K1603" i="53"/>
  <c r="K1602" i="53"/>
  <c r="K1601" i="53"/>
  <c r="K1600" i="53"/>
  <c r="K1599" i="53"/>
  <c r="K1598" i="53"/>
  <c r="K1597" i="53"/>
  <c r="K1596" i="53"/>
  <c r="K1595" i="53"/>
  <c r="K1594" i="53"/>
  <c r="K1593" i="53"/>
  <c r="K1592" i="53"/>
  <c r="K1591" i="53"/>
  <c r="K1590" i="53"/>
  <c r="K1589" i="53"/>
  <c r="K1588" i="53"/>
  <c r="K1587" i="53"/>
  <c r="K1586" i="53"/>
  <c r="K1585" i="53"/>
  <c r="K1584" i="53"/>
  <c r="K1583" i="53"/>
  <c r="K1582" i="53"/>
  <c r="K1581" i="53"/>
  <c r="K1580" i="53"/>
  <c r="K1579" i="53"/>
  <c r="K1578" i="53"/>
  <c r="K1577" i="53"/>
  <c r="K1576" i="53"/>
  <c r="K1575" i="53"/>
  <c r="K1574" i="53"/>
  <c r="K1573" i="53"/>
  <c r="K1572" i="53"/>
  <c r="K1571" i="53"/>
  <c r="K1570" i="53"/>
  <c r="K1569" i="53"/>
  <c r="K1568" i="53"/>
  <c r="K1567" i="53"/>
  <c r="K1566" i="53"/>
  <c r="K1565" i="53"/>
  <c r="K1564" i="53"/>
  <c r="K1563" i="53"/>
  <c r="K1562" i="53"/>
  <c r="K1561" i="53"/>
  <c r="K1560" i="53"/>
  <c r="K1559" i="53"/>
  <c r="K1558" i="53"/>
  <c r="K1557" i="53"/>
  <c r="K1556" i="53"/>
  <c r="K1555" i="53"/>
  <c r="K1554" i="53"/>
  <c r="K1553" i="53"/>
  <c r="K1552" i="53"/>
  <c r="K1551" i="53"/>
  <c r="K1550" i="53"/>
  <c r="K1549" i="53"/>
  <c r="K1548" i="53"/>
  <c r="K1547" i="53"/>
  <c r="K1546" i="53"/>
  <c r="K1545" i="53"/>
  <c r="K1544" i="53"/>
  <c r="K1543" i="53"/>
  <c r="K1542" i="53"/>
  <c r="K1541" i="53"/>
  <c r="K1540" i="53"/>
  <c r="K1539" i="53"/>
  <c r="K1538" i="53"/>
  <c r="K1537" i="53"/>
  <c r="K1536" i="53"/>
  <c r="K1535" i="53"/>
  <c r="K1534" i="53"/>
  <c r="K1533" i="53"/>
  <c r="K1532" i="53"/>
  <c r="K1531" i="53"/>
  <c r="K1530" i="53"/>
  <c r="K1529" i="53"/>
  <c r="K1528" i="53"/>
  <c r="K1527" i="53"/>
  <c r="K1526" i="53"/>
  <c r="K1525" i="53"/>
  <c r="K1524" i="53"/>
  <c r="K1523" i="53"/>
  <c r="K1522" i="53"/>
  <c r="K1521" i="53"/>
  <c r="K1520" i="53"/>
  <c r="K1519" i="53"/>
  <c r="K1518" i="53"/>
  <c r="K1517" i="53"/>
  <c r="K1516" i="53"/>
  <c r="K1515" i="53"/>
  <c r="K1514" i="53"/>
  <c r="K1513" i="53"/>
  <c r="K1512" i="53"/>
  <c r="K1511" i="53"/>
  <c r="K1510" i="53"/>
  <c r="K1509" i="53"/>
  <c r="K1508" i="53"/>
  <c r="K1507" i="53"/>
  <c r="K1506" i="53"/>
  <c r="K1505" i="53"/>
  <c r="K1504" i="53"/>
  <c r="K1503" i="53"/>
  <c r="K1502" i="53"/>
  <c r="K1501" i="53"/>
  <c r="K1500" i="53"/>
  <c r="K1499" i="53"/>
  <c r="K1498" i="53"/>
  <c r="K1497" i="53"/>
  <c r="K1496" i="53"/>
  <c r="K1495" i="53"/>
  <c r="K1494" i="53"/>
  <c r="K1493" i="53"/>
  <c r="K1492" i="53"/>
  <c r="K1491" i="53"/>
  <c r="K1490" i="53"/>
  <c r="K1489" i="53"/>
  <c r="K1488" i="53"/>
  <c r="K1487" i="53"/>
  <c r="K1486" i="53"/>
  <c r="K1485" i="53"/>
  <c r="K1484" i="53"/>
  <c r="K1483" i="53"/>
  <c r="K1482" i="53"/>
  <c r="K1481" i="53"/>
  <c r="K1480" i="53"/>
  <c r="K1479" i="53"/>
  <c r="K1478" i="53"/>
  <c r="K1477" i="53"/>
  <c r="K1476" i="53"/>
  <c r="K1475" i="53"/>
  <c r="K1474" i="53"/>
  <c r="K1473" i="53"/>
  <c r="K1472" i="53"/>
  <c r="K1471" i="53"/>
  <c r="K1470" i="53"/>
  <c r="K1469" i="53"/>
  <c r="K1468" i="53"/>
  <c r="K1467" i="53"/>
  <c r="K1466" i="53"/>
  <c r="K1465" i="53"/>
  <c r="K1464" i="53"/>
  <c r="K1463" i="53"/>
  <c r="K1462" i="53"/>
  <c r="K1461" i="53"/>
  <c r="K1460" i="53"/>
  <c r="K1459" i="53"/>
  <c r="K1458" i="53"/>
  <c r="K1457" i="53"/>
  <c r="K1456" i="53"/>
  <c r="K1455" i="53"/>
  <c r="K1454" i="53"/>
  <c r="K1453" i="53"/>
  <c r="K1452" i="53"/>
  <c r="K1451" i="53"/>
  <c r="K1450" i="53"/>
  <c r="K1449" i="53"/>
  <c r="K1448" i="53"/>
  <c r="K1447" i="53"/>
  <c r="K1446" i="53"/>
  <c r="K1445" i="53"/>
  <c r="K1444" i="53"/>
  <c r="K1443" i="53"/>
  <c r="K1442" i="53"/>
  <c r="K1441" i="53"/>
  <c r="K1440" i="53"/>
  <c r="K1439" i="53"/>
  <c r="K1438" i="53"/>
  <c r="K1437" i="53"/>
  <c r="K1436" i="53"/>
  <c r="K1435" i="53"/>
  <c r="K1434" i="53"/>
  <c r="K1433" i="53"/>
  <c r="K1432" i="53"/>
  <c r="K1431" i="53"/>
  <c r="K1430" i="53"/>
  <c r="K1429" i="53"/>
  <c r="K1428" i="53"/>
  <c r="K1427" i="53"/>
  <c r="K1426" i="53"/>
  <c r="K1425" i="53"/>
  <c r="K1424" i="53"/>
  <c r="K1423" i="53"/>
  <c r="K1422" i="53"/>
  <c r="K1421" i="53"/>
  <c r="K1420" i="53"/>
  <c r="K1419" i="53"/>
  <c r="K1418" i="53"/>
  <c r="K1417" i="53"/>
  <c r="K1416" i="53"/>
  <c r="K1415" i="53"/>
  <c r="K1414" i="53"/>
  <c r="K1413" i="53"/>
  <c r="K1412" i="53"/>
  <c r="K1411" i="53"/>
  <c r="K1410" i="53"/>
  <c r="K1409" i="53"/>
  <c r="K1408" i="53"/>
  <c r="K1407" i="53"/>
  <c r="K1406" i="53"/>
  <c r="K1405" i="53"/>
  <c r="K1404" i="53"/>
  <c r="K1403" i="53"/>
  <c r="K1402" i="53"/>
  <c r="K1401" i="53"/>
  <c r="K1400" i="53"/>
  <c r="K1399" i="53"/>
  <c r="K1398" i="53"/>
  <c r="K1397" i="53"/>
  <c r="K1396" i="53"/>
  <c r="K1395" i="53"/>
  <c r="K1394" i="53"/>
  <c r="K1393" i="53"/>
  <c r="K1392" i="53"/>
  <c r="K1391" i="53"/>
  <c r="K1390" i="53"/>
  <c r="K1389" i="53"/>
  <c r="K1388" i="53"/>
  <c r="K1387" i="53"/>
  <c r="K1386" i="53"/>
  <c r="K1385" i="53"/>
  <c r="K1384" i="53"/>
  <c r="K1383" i="53"/>
  <c r="K1382" i="53"/>
  <c r="K1381" i="53"/>
  <c r="K1380" i="53"/>
  <c r="K1379" i="53"/>
  <c r="K1378" i="53"/>
  <c r="K1377" i="53"/>
  <c r="K1376" i="53"/>
  <c r="K1375" i="53"/>
  <c r="K1374" i="53"/>
  <c r="K1373" i="53"/>
  <c r="K1372" i="53"/>
  <c r="K1371" i="53"/>
  <c r="K1370" i="53"/>
  <c r="K1369" i="53"/>
  <c r="K1368" i="53"/>
  <c r="K1367" i="53"/>
  <c r="K1366" i="53"/>
  <c r="K1365" i="53"/>
  <c r="K1364" i="53"/>
  <c r="K1363" i="53"/>
  <c r="K1362" i="53"/>
  <c r="K1361" i="53"/>
  <c r="K1360" i="53"/>
  <c r="K1359" i="53"/>
  <c r="K1358" i="53"/>
  <c r="K1357" i="53"/>
  <c r="K1356" i="53"/>
  <c r="K1355" i="53"/>
  <c r="K1354" i="53"/>
  <c r="K1353" i="53"/>
  <c r="K1352" i="53"/>
  <c r="K1351" i="53"/>
  <c r="K1350" i="53"/>
  <c r="K1349" i="53"/>
  <c r="K1348" i="53"/>
  <c r="K1347" i="53"/>
  <c r="K1346" i="53"/>
  <c r="K1345" i="53"/>
  <c r="K1344" i="53"/>
  <c r="K1343" i="53"/>
  <c r="K1342" i="53"/>
  <c r="K1341" i="53"/>
  <c r="K1340" i="53"/>
  <c r="K1339" i="53"/>
  <c r="K1338" i="53"/>
  <c r="K1337" i="53"/>
  <c r="K1336" i="53"/>
  <c r="K1335" i="53"/>
  <c r="K1334" i="53"/>
  <c r="K1333" i="53"/>
  <c r="K1332" i="53"/>
  <c r="K1331" i="53"/>
  <c r="K1330" i="53"/>
  <c r="K1329" i="53"/>
  <c r="K1328" i="53"/>
  <c r="K1327" i="53"/>
  <c r="K1326" i="53"/>
  <c r="K1325" i="53"/>
  <c r="K1324" i="53"/>
  <c r="K1323" i="53"/>
  <c r="K1322" i="53"/>
  <c r="K1321" i="53"/>
  <c r="K1320" i="53"/>
  <c r="K1319" i="53"/>
  <c r="K1318" i="53"/>
  <c r="K1317" i="53"/>
  <c r="K1316" i="53"/>
  <c r="K1315" i="53"/>
  <c r="K1314" i="53"/>
  <c r="K1313" i="53"/>
  <c r="K1312" i="53"/>
  <c r="K1311" i="53"/>
  <c r="K1310" i="53"/>
  <c r="K1309" i="53"/>
  <c r="K1308" i="53"/>
  <c r="K1307" i="53"/>
  <c r="K1306" i="53"/>
  <c r="K1305" i="53"/>
  <c r="K1304" i="53"/>
  <c r="K1303" i="53"/>
  <c r="K1302" i="53"/>
  <c r="K1301" i="53"/>
  <c r="K1300" i="53"/>
  <c r="K1299" i="53"/>
  <c r="K1298" i="53"/>
  <c r="K1297" i="53"/>
  <c r="K1296" i="53"/>
  <c r="K1295" i="53"/>
  <c r="K1294" i="53"/>
  <c r="K1293" i="53"/>
  <c r="K1292" i="53"/>
  <c r="K1291" i="53"/>
  <c r="K1290" i="53"/>
  <c r="K1289" i="53"/>
  <c r="K1288" i="53"/>
  <c r="K1287" i="53"/>
  <c r="K1286" i="53"/>
  <c r="K1285" i="53"/>
  <c r="K1284" i="53"/>
  <c r="K1283" i="53"/>
  <c r="K1282" i="53"/>
  <c r="K1281" i="53"/>
  <c r="K1280" i="53"/>
  <c r="K1279" i="53"/>
  <c r="K1278" i="53"/>
  <c r="K1277" i="53"/>
  <c r="K1276" i="53"/>
  <c r="K1275" i="53"/>
  <c r="K1274" i="53"/>
  <c r="K1273" i="53"/>
  <c r="K1272" i="53"/>
  <c r="K1271" i="53"/>
  <c r="K1270" i="53"/>
  <c r="K1269" i="53"/>
  <c r="K1268" i="53"/>
  <c r="K1267" i="53"/>
  <c r="K1266" i="53"/>
  <c r="K1265" i="53"/>
  <c r="K1264" i="53"/>
  <c r="K1263" i="53"/>
  <c r="K1262" i="53"/>
  <c r="K1261" i="53"/>
  <c r="K1260" i="53"/>
  <c r="K1259" i="53"/>
  <c r="K1258" i="53"/>
  <c r="K1257" i="53"/>
  <c r="K1256" i="53"/>
  <c r="K1255" i="53"/>
  <c r="K1254" i="53"/>
  <c r="K1253" i="53"/>
  <c r="K1252" i="53"/>
  <c r="K1251" i="53"/>
  <c r="K1250" i="53"/>
  <c r="K1249" i="53"/>
  <c r="K1248" i="53"/>
  <c r="K1247" i="53"/>
  <c r="K1246" i="53"/>
  <c r="K1245" i="53"/>
  <c r="K1244" i="53"/>
  <c r="K1243" i="53"/>
  <c r="K1242" i="53"/>
  <c r="K1241" i="53"/>
  <c r="K1240" i="53"/>
  <c r="K1239" i="53"/>
  <c r="K1238" i="53"/>
  <c r="K1237" i="53"/>
  <c r="K1236" i="53"/>
  <c r="K1235" i="53"/>
  <c r="K1234" i="53"/>
  <c r="K1233" i="53"/>
  <c r="K1232" i="53"/>
  <c r="K1231" i="53"/>
  <c r="K1230" i="53"/>
  <c r="K1229" i="53"/>
  <c r="K1228" i="53"/>
  <c r="K1227" i="53"/>
  <c r="K1226" i="53"/>
  <c r="K1225" i="53"/>
  <c r="K1224" i="53"/>
  <c r="K1223" i="53"/>
  <c r="K1222" i="53"/>
  <c r="K1221" i="53"/>
  <c r="K1220" i="53"/>
  <c r="K1219" i="53"/>
  <c r="K1218" i="53"/>
  <c r="K1217" i="53"/>
  <c r="K1216" i="53"/>
  <c r="K1215" i="53"/>
  <c r="K1214" i="53"/>
  <c r="K1213" i="53"/>
  <c r="K1212" i="53"/>
  <c r="K1211" i="53"/>
  <c r="K1210" i="53"/>
  <c r="K1209" i="53"/>
  <c r="K1208" i="53"/>
  <c r="K1207" i="53"/>
  <c r="K1206" i="53"/>
  <c r="K1205" i="53"/>
  <c r="K1204" i="53"/>
  <c r="K1203" i="53"/>
  <c r="K1202" i="53"/>
  <c r="K1201" i="53"/>
  <c r="K1200" i="53"/>
  <c r="K1199" i="53"/>
  <c r="K1198" i="53"/>
  <c r="K1197" i="53"/>
  <c r="K1196" i="53"/>
  <c r="K1195" i="53"/>
  <c r="K1194" i="53"/>
  <c r="K1193" i="53"/>
  <c r="K1192" i="53"/>
  <c r="K1191" i="53"/>
  <c r="K1190" i="53"/>
  <c r="K1189" i="53"/>
  <c r="K1188" i="53"/>
  <c r="K1187" i="53"/>
  <c r="K1186" i="53"/>
  <c r="K1185" i="53"/>
  <c r="K1184" i="53"/>
  <c r="K1183" i="53"/>
  <c r="K1182" i="53"/>
  <c r="K1181" i="53"/>
  <c r="K1180" i="53"/>
  <c r="K1179" i="53"/>
  <c r="K1178" i="53"/>
  <c r="K1177" i="53"/>
  <c r="K1176" i="53"/>
  <c r="K1175" i="53"/>
  <c r="K1174" i="53"/>
  <c r="K1173" i="53"/>
  <c r="K1172" i="53"/>
  <c r="K1171" i="53"/>
  <c r="K1170" i="53"/>
  <c r="K1169" i="53"/>
  <c r="K1168" i="53"/>
  <c r="K1167" i="53"/>
  <c r="K1166" i="53"/>
  <c r="K1165" i="53"/>
  <c r="K1164" i="53"/>
  <c r="K1163" i="53"/>
  <c r="K1162" i="53"/>
  <c r="K1161" i="53"/>
  <c r="K1160" i="53"/>
  <c r="K1159" i="53"/>
  <c r="K1158" i="53"/>
  <c r="K1157" i="53"/>
  <c r="K1156" i="53"/>
  <c r="K1155" i="53"/>
  <c r="K1154" i="53"/>
  <c r="K1153" i="53"/>
  <c r="K1152" i="53"/>
  <c r="K1151" i="53"/>
  <c r="K1150" i="53"/>
  <c r="K1149" i="53"/>
  <c r="K1148" i="53"/>
  <c r="K1147" i="53"/>
  <c r="K1146" i="53"/>
  <c r="K1145" i="53"/>
  <c r="K1144" i="53"/>
  <c r="K1143" i="53"/>
  <c r="K1142" i="53"/>
  <c r="K1141" i="53"/>
  <c r="K1140" i="53"/>
  <c r="K1139" i="53"/>
  <c r="K1138" i="53"/>
  <c r="K1137" i="53"/>
  <c r="K1136" i="53"/>
  <c r="K1135" i="53"/>
  <c r="K1134" i="53"/>
  <c r="K1133" i="53"/>
  <c r="K1132" i="53"/>
  <c r="K1131" i="53"/>
  <c r="K1130" i="53"/>
  <c r="K1129" i="53"/>
  <c r="K1128" i="53"/>
  <c r="K1127" i="53"/>
  <c r="K1126" i="53"/>
  <c r="K1125" i="53"/>
  <c r="K1124" i="53"/>
  <c r="K1123" i="53"/>
  <c r="K1122" i="53"/>
  <c r="K1121" i="53"/>
  <c r="K1120" i="53"/>
  <c r="K1119" i="53"/>
  <c r="K1118" i="53"/>
  <c r="K1117" i="53"/>
  <c r="K1116" i="53"/>
  <c r="K1115" i="53"/>
  <c r="K1114" i="53"/>
  <c r="K1113" i="53"/>
  <c r="K1112" i="53"/>
  <c r="K1111" i="53"/>
  <c r="K1110" i="53"/>
  <c r="K1109" i="53"/>
  <c r="K1108" i="53"/>
  <c r="K1107" i="53"/>
  <c r="K1106" i="53"/>
  <c r="K1105" i="53"/>
  <c r="K1104" i="53"/>
  <c r="K1103" i="53"/>
  <c r="K1102" i="53"/>
  <c r="K1101" i="53"/>
  <c r="K1100" i="53"/>
  <c r="K1099" i="53"/>
  <c r="K1098" i="53"/>
  <c r="K1097" i="53"/>
  <c r="K1096" i="53"/>
  <c r="K1095" i="53"/>
  <c r="K1094" i="53"/>
  <c r="K1093" i="53"/>
  <c r="K1092" i="53"/>
  <c r="K1091" i="53"/>
  <c r="K1090" i="53"/>
  <c r="K1089" i="53"/>
  <c r="K1088" i="53"/>
  <c r="K1087" i="53"/>
  <c r="K1086" i="53"/>
  <c r="K1085" i="53"/>
  <c r="K1084" i="53"/>
  <c r="K1083" i="53"/>
  <c r="K1082" i="53"/>
  <c r="K1081" i="53"/>
  <c r="K1080" i="53"/>
  <c r="K1079" i="53"/>
  <c r="K1078" i="53"/>
  <c r="K1077" i="53"/>
  <c r="K1076" i="53"/>
  <c r="K1075" i="53"/>
  <c r="K1074" i="53"/>
  <c r="K1073" i="53"/>
  <c r="K1072" i="53"/>
  <c r="K1071" i="53"/>
  <c r="K1070" i="53"/>
  <c r="K1069" i="53"/>
  <c r="K1068" i="53"/>
  <c r="K1067" i="53"/>
  <c r="K1066" i="53"/>
  <c r="K1065" i="53"/>
  <c r="K1064" i="53"/>
  <c r="K1063" i="53"/>
  <c r="K1062" i="53"/>
  <c r="K1061" i="53"/>
  <c r="K1060" i="53"/>
  <c r="K1059" i="53"/>
  <c r="K1058" i="53"/>
  <c r="K1057" i="53"/>
  <c r="K1056" i="53"/>
  <c r="K1055" i="53"/>
  <c r="K1054" i="53"/>
  <c r="K1053" i="53"/>
  <c r="K1052" i="53"/>
  <c r="K1051" i="53"/>
  <c r="K1050" i="53"/>
  <c r="K1049" i="53"/>
  <c r="K1048" i="53"/>
  <c r="K1047" i="53"/>
  <c r="K1046" i="53"/>
  <c r="K1045" i="53"/>
  <c r="K1044" i="53"/>
  <c r="K1043" i="53"/>
  <c r="K1042" i="53"/>
  <c r="K1041" i="53"/>
  <c r="K1040" i="53"/>
  <c r="K1039" i="53"/>
  <c r="K1038" i="53"/>
  <c r="K1037" i="53"/>
  <c r="K1036" i="53"/>
  <c r="K1035" i="53"/>
  <c r="K1034" i="53"/>
  <c r="K1033" i="53"/>
  <c r="K1032" i="53"/>
  <c r="K1031" i="53"/>
  <c r="K1030" i="53"/>
  <c r="K1029" i="53"/>
  <c r="K1028" i="53"/>
  <c r="K1027" i="53"/>
  <c r="K1026" i="53"/>
  <c r="K1025" i="53"/>
  <c r="K1024" i="53"/>
  <c r="K1023" i="53"/>
  <c r="K1022" i="53"/>
  <c r="K1021" i="53"/>
  <c r="K1020" i="53"/>
  <c r="K1019" i="53"/>
  <c r="K1018" i="53"/>
  <c r="K1017" i="53"/>
  <c r="K1016" i="53"/>
  <c r="K1015" i="53"/>
  <c r="K1014" i="53"/>
  <c r="K1013" i="53"/>
  <c r="K1012" i="53"/>
  <c r="K1011" i="53"/>
  <c r="K1010" i="53"/>
  <c r="K1009" i="53"/>
  <c r="K1008" i="53"/>
  <c r="K1007" i="53"/>
  <c r="K1006" i="53"/>
  <c r="K1005" i="53"/>
  <c r="K1004" i="53"/>
  <c r="K1003" i="53"/>
  <c r="K1002" i="53"/>
  <c r="K1001" i="53"/>
  <c r="K1000" i="53"/>
  <c r="K999" i="53"/>
  <c r="K998" i="53"/>
  <c r="K997" i="53"/>
  <c r="K996" i="53"/>
  <c r="K995" i="53"/>
  <c r="K994" i="53"/>
  <c r="K993" i="53"/>
  <c r="K992" i="53"/>
  <c r="K991" i="53"/>
  <c r="K990" i="53"/>
  <c r="K989" i="53"/>
  <c r="K988" i="53"/>
  <c r="K987" i="53"/>
  <c r="K986" i="53"/>
  <c r="K985" i="53"/>
  <c r="K984" i="53"/>
  <c r="K983" i="53"/>
  <c r="K982" i="53"/>
  <c r="K981" i="53"/>
  <c r="K980" i="53"/>
  <c r="K979" i="53"/>
  <c r="K978" i="53"/>
  <c r="K977" i="53"/>
  <c r="K976" i="53"/>
  <c r="K975" i="53"/>
  <c r="K974" i="53"/>
  <c r="K973" i="53"/>
  <c r="K972" i="53"/>
  <c r="K971" i="53"/>
  <c r="K970" i="53"/>
  <c r="K969" i="53"/>
  <c r="K968" i="53"/>
  <c r="K967" i="53"/>
  <c r="K966" i="53"/>
  <c r="K965" i="53"/>
  <c r="K964" i="53"/>
  <c r="K963" i="53"/>
  <c r="K962" i="53"/>
  <c r="K961" i="53"/>
  <c r="K960" i="53"/>
  <c r="K959" i="53"/>
  <c r="K958" i="53"/>
  <c r="K957" i="53"/>
  <c r="K956" i="53"/>
  <c r="K955" i="53"/>
  <c r="K954" i="53"/>
  <c r="K953" i="53"/>
  <c r="K952" i="53"/>
  <c r="K951" i="53"/>
  <c r="K950" i="53"/>
  <c r="K949" i="53"/>
  <c r="K948" i="53"/>
  <c r="K947" i="53"/>
  <c r="K946" i="53"/>
  <c r="K945" i="53"/>
  <c r="K944" i="53"/>
  <c r="K943" i="53"/>
  <c r="K942" i="53"/>
  <c r="K941" i="53"/>
  <c r="K940" i="53"/>
  <c r="K939" i="53"/>
  <c r="K938" i="53"/>
  <c r="K937" i="53"/>
  <c r="K936" i="53"/>
  <c r="K935" i="53"/>
  <c r="K934" i="53"/>
  <c r="K933" i="53"/>
  <c r="K932" i="53"/>
  <c r="K931" i="53"/>
  <c r="K930" i="53"/>
  <c r="K929" i="53"/>
  <c r="K928" i="53"/>
  <c r="K927" i="53"/>
  <c r="K926" i="53"/>
  <c r="K925" i="53"/>
  <c r="K924" i="53"/>
  <c r="K923" i="53"/>
  <c r="K922" i="53"/>
  <c r="K921" i="53"/>
  <c r="K920" i="53"/>
  <c r="K919" i="53"/>
  <c r="K918" i="53"/>
  <c r="K917" i="53"/>
  <c r="K916" i="53"/>
  <c r="K915" i="53"/>
  <c r="K914" i="53"/>
  <c r="K913" i="53"/>
  <c r="K912" i="53"/>
  <c r="K911" i="53"/>
  <c r="K910" i="53"/>
  <c r="K909" i="53"/>
  <c r="K908" i="53"/>
  <c r="K907" i="53"/>
  <c r="K906" i="53"/>
  <c r="K905" i="53"/>
  <c r="K904" i="53"/>
  <c r="K903" i="53"/>
  <c r="K902" i="53"/>
  <c r="K901" i="53"/>
  <c r="K900" i="53"/>
  <c r="K899" i="53"/>
  <c r="K898" i="53"/>
  <c r="K897" i="53"/>
  <c r="K896" i="53"/>
  <c r="K895" i="53"/>
  <c r="K894" i="53"/>
  <c r="K893" i="53"/>
  <c r="K892" i="53"/>
  <c r="K891" i="53"/>
  <c r="K890" i="53"/>
  <c r="K889" i="53"/>
  <c r="K888" i="53"/>
  <c r="K887" i="53"/>
  <c r="K886" i="53"/>
  <c r="K885" i="53"/>
  <c r="K884" i="53"/>
  <c r="K883" i="53"/>
  <c r="K882" i="53"/>
  <c r="K881" i="53"/>
  <c r="K880" i="53"/>
  <c r="K879" i="53"/>
  <c r="K878" i="53"/>
  <c r="K877" i="53"/>
  <c r="K876" i="53"/>
  <c r="K875" i="53"/>
  <c r="K874" i="53"/>
  <c r="K873" i="53"/>
  <c r="K872" i="53"/>
  <c r="K871" i="53"/>
  <c r="K870" i="53"/>
  <c r="K869" i="53"/>
  <c r="K868" i="53"/>
  <c r="K867" i="53"/>
  <c r="K866" i="53"/>
  <c r="K865" i="53"/>
  <c r="K864" i="53"/>
  <c r="K863" i="53"/>
  <c r="K862" i="53"/>
  <c r="K861" i="53"/>
  <c r="K860" i="53"/>
  <c r="K859" i="53"/>
  <c r="K858" i="53"/>
  <c r="K857" i="53"/>
  <c r="K856" i="53"/>
  <c r="K855" i="53"/>
  <c r="K854" i="53"/>
  <c r="K853" i="53"/>
  <c r="K852" i="53"/>
  <c r="K851" i="53"/>
  <c r="K850" i="53"/>
  <c r="K849" i="53"/>
  <c r="K848" i="53"/>
  <c r="K847" i="53"/>
  <c r="K846" i="53"/>
  <c r="K845" i="53"/>
  <c r="K844" i="53"/>
  <c r="K843" i="53"/>
  <c r="K842" i="53"/>
  <c r="K841" i="53"/>
  <c r="K840" i="53"/>
  <c r="K839" i="53"/>
  <c r="K838" i="53"/>
  <c r="K837" i="53"/>
  <c r="K836" i="53"/>
  <c r="K835" i="53"/>
  <c r="K834" i="53"/>
  <c r="K833" i="53"/>
  <c r="K832" i="53"/>
  <c r="K831" i="53"/>
  <c r="K830" i="53"/>
  <c r="K829" i="53"/>
  <c r="K828" i="53"/>
  <c r="K827" i="53"/>
  <c r="K826" i="53"/>
  <c r="K825" i="53"/>
  <c r="K824" i="53"/>
  <c r="K823" i="53"/>
  <c r="K822" i="53"/>
  <c r="K821" i="53"/>
  <c r="K820" i="53"/>
  <c r="K819" i="53"/>
  <c r="K818" i="53"/>
  <c r="K817" i="53"/>
  <c r="K816" i="53"/>
  <c r="K815" i="53"/>
  <c r="K814" i="53"/>
  <c r="K813" i="53"/>
  <c r="K812" i="53"/>
  <c r="K811" i="53"/>
  <c r="K810" i="53"/>
  <c r="K809" i="53"/>
  <c r="K808" i="53"/>
  <c r="K807" i="53"/>
  <c r="K806" i="53"/>
  <c r="K805" i="53"/>
  <c r="K804" i="53"/>
  <c r="K803" i="53"/>
  <c r="K802" i="53"/>
  <c r="K801" i="53"/>
  <c r="K800" i="53"/>
  <c r="K799" i="53"/>
  <c r="K798" i="53"/>
  <c r="K797" i="53"/>
  <c r="K796" i="53"/>
  <c r="K795" i="53"/>
  <c r="K794" i="53"/>
  <c r="K793" i="53"/>
  <c r="K792" i="53"/>
  <c r="K791" i="53"/>
  <c r="K790" i="53"/>
  <c r="K789" i="53"/>
  <c r="K788" i="53"/>
  <c r="K787" i="53"/>
  <c r="K786" i="53"/>
  <c r="K785" i="53"/>
  <c r="K784" i="53"/>
  <c r="K783" i="53"/>
  <c r="K782" i="53"/>
  <c r="K781" i="53"/>
  <c r="K780" i="53"/>
  <c r="K779" i="53"/>
  <c r="K778" i="53"/>
  <c r="K777" i="53"/>
  <c r="K776" i="53"/>
  <c r="K775" i="53"/>
  <c r="K774" i="53"/>
  <c r="K773" i="53"/>
  <c r="K772" i="53"/>
  <c r="K771" i="53"/>
  <c r="K770" i="53"/>
  <c r="K769" i="53"/>
  <c r="K768" i="53"/>
  <c r="K767" i="53"/>
  <c r="K766" i="53"/>
  <c r="K765" i="53"/>
  <c r="K764" i="53"/>
  <c r="K763" i="53"/>
  <c r="K762" i="53"/>
  <c r="K761" i="53"/>
  <c r="K760" i="53"/>
  <c r="K759" i="53"/>
  <c r="K758" i="53"/>
  <c r="K757" i="53"/>
  <c r="K756" i="53"/>
  <c r="K755" i="53"/>
  <c r="K754" i="53"/>
  <c r="K753" i="53"/>
  <c r="K752" i="53"/>
  <c r="K751" i="53"/>
  <c r="K750" i="53"/>
  <c r="K749" i="53"/>
  <c r="K748" i="53"/>
  <c r="K747" i="53"/>
  <c r="K746" i="53"/>
  <c r="K745" i="53"/>
  <c r="K744" i="53"/>
  <c r="K743" i="53"/>
  <c r="K742" i="53"/>
  <c r="K741" i="53"/>
  <c r="K740" i="53"/>
  <c r="K739" i="53"/>
  <c r="K738" i="53"/>
  <c r="K737" i="53"/>
  <c r="K736" i="53"/>
  <c r="K735" i="53"/>
  <c r="K734" i="53"/>
  <c r="K733" i="53"/>
  <c r="K732" i="53"/>
  <c r="K731" i="53"/>
  <c r="K730" i="53"/>
  <c r="K729" i="53"/>
  <c r="K728" i="53"/>
  <c r="K727" i="53"/>
  <c r="K726" i="53"/>
  <c r="K725" i="53"/>
  <c r="K724" i="53"/>
  <c r="K723" i="53"/>
  <c r="K722" i="53"/>
  <c r="K721" i="53"/>
  <c r="K720" i="53"/>
  <c r="K719" i="53"/>
  <c r="K718" i="53"/>
  <c r="K717" i="53"/>
  <c r="K716" i="53"/>
  <c r="K715" i="53"/>
  <c r="K714" i="53"/>
  <c r="K713" i="53"/>
  <c r="K712" i="53"/>
  <c r="K711" i="53"/>
  <c r="K710" i="53"/>
  <c r="K709" i="53"/>
  <c r="K708" i="53"/>
  <c r="K707" i="53"/>
  <c r="K706" i="53"/>
  <c r="K705" i="53"/>
  <c r="K704" i="53"/>
  <c r="K703" i="53"/>
  <c r="K702" i="53"/>
  <c r="K701" i="53"/>
  <c r="K700" i="53"/>
  <c r="K699" i="53"/>
  <c r="K698" i="53"/>
  <c r="K697" i="53"/>
  <c r="K696" i="53"/>
  <c r="K695" i="53"/>
  <c r="K694" i="53"/>
  <c r="K693" i="53"/>
  <c r="K692" i="53"/>
  <c r="K691" i="53"/>
  <c r="K690" i="53"/>
  <c r="K689" i="53"/>
  <c r="K688" i="53"/>
  <c r="K687" i="53"/>
  <c r="K686" i="53"/>
  <c r="K685" i="53"/>
  <c r="K684" i="53"/>
  <c r="K683" i="53"/>
  <c r="K682" i="53"/>
  <c r="K681" i="53"/>
  <c r="K680" i="53"/>
  <c r="K679" i="53"/>
  <c r="K678" i="53"/>
  <c r="K677" i="53"/>
  <c r="K676" i="53"/>
  <c r="K675" i="53"/>
  <c r="K674" i="53"/>
  <c r="K673" i="53"/>
  <c r="K672" i="53"/>
  <c r="K671" i="53"/>
  <c r="K670" i="53"/>
  <c r="K669" i="53"/>
  <c r="K668" i="53"/>
  <c r="K667" i="53"/>
  <c r="K666" i="53"/>
  <c r="K665" i="53"/>
  <c r="K664" i="53"/>
  <c r="K663" i="53"/>
  <c r="K662" i="53"/>
  <c r="K661" i="53"/>
  <c r="K660" i="53"/>
  <c r="K659" i="53"/>
  <c r="K658" i="53"/>
  <c r="K657" i="53"/>
  <c r="K656" i="53"/>
  <c r="K655" i="53"/>
  <c r="K654" i="53"/>
  <c r="K653" i="53"/>
  <c r="K652" i="53"/>
  <c r="K651" i="53"/>
  <c r="K650" i="53"/>
  <c r="K649" i="53"/>
  <c r="K648" i="53"/>
  <c r="K647" i="53"/>
  <c r="K646" i="53"/>
  <c r="K645" i="53"/>
  <c r="K644" i="53"/>
  <c r="K643" i="53"/>
  <c r="K642" i="53"/>
  <c r="K641" i="53"/>
  <c r="K640" i="53"/>
  <c r="K639" i="53"/>
  <c r="K638" i="53"/>
  <c r="K637" i="53"/>
  <c r="K636" i="53"/>
  <c r="K635" i="53"/>
  <c r="K634" i="53"/>
  <c r="K633" i="53"/>
  <c r="K632" i="53"/>
  <c r="K631" i="53"/>
  <c r="K630" i="53"/>
  <c r="K629" i="53"/>
  <c r="K628" i="53"/>
  <c r="K627" i="53"/>
  <c r="K626" i="53"/>
  <c r="K625" i="53"/>
  <c r="K624" i="53"/>
  <c r="K623" i="53"/>
  <c r="K622" i="53"/>
  <c r="K621" i="53"/>
  <c r="K620" i="53"/>
  <c r="K619" i="53"/>
  <c r="K618" i="53"/>
  <c r="K617" i="53"/>
  <c r="K616" i="53"/>
  <c r="K615" i="53"/>
  <c r="K614" i="53"/>
  <c r="K613" i="53"/>
  <c r="K612" i="53"/>
  <c r="K611" i="53"/>
  <c r="K610" i="53"/>
  <c r="K609" i="53"/>
  <c r="K608" i="53"/>
  <c r="K607" i="53"/>
  <c r="K606" i="53"/>
  <c r="K605" i="53"/>
  <c r="K604" i="53"/>
  <c r="K603" i="53"/>
  <c r="K602" i="53"/>
  <c r="K601" i="53"/>
  <c r="K600" i="53"/>
  <c r="K599" i="53"/>
  <c r="K598" i="53"/>
  <c r="K597" i="53"/>
  <c r="K596" i="53"/>
  <c r="K595" i="53"/>
  <c r="K594" i="53"/>
  <c r="K593" i="53"/>
  <c r="K592" i="53"/>
  <c r="K591" i="53"/>
  <c r="K590" i="53"/>
  <c r="K589" i="53"/>
  <c r="K588" i="53"/>
  <c r="K587" i="53"/>
  <c r="K586" i="53"/>
  <c r="K585" i="53"/>
  <c r="K584" i="53"/>
  <c r="K583" i="53"/>
  <c r="K582" i="53"/>
  <c r="K581" i="53"/>
  <c r="K580" i="53"/>
  <c r="K579" i="53"/>
  <c r="K578" i="53"/>
  <c r="K577" i="53"/>
  <c r="K576" i="53"/>
  <c r="K575" i="53"/>
  <c r="K574" i="53"/>
  <c r="K573" i="53"/>
  <c r="K572" i="53"/>
  <c r="K571" i="53"/>
  <c r="K570" i="53"/>
  <c r="K569" i="53"/>
  <c r="K568" i="53"/>
  <c r="K567" i="53"/>
  <c r="K566" i="53"/>
  <c r="K565" i="53"/>
  <c r="K564" i="53"/>
  <c r="K563" i="53"/>
  <c r="K562" i="53"/>
  <c r="K561" i="53"/>
  <c r="K560" i="53"/>
  <c r="K559" i="53"/>
  <c r="K558" i="53"/>
  <c r="K557" i="53"/>
  <c r="K556" i="53"/>
  <c r="K555" i="53"/>
  <c r="K554" i="53"/>
  <c r="K553" i="53"/>
  <c r="K552" i="53"/>
  <c r="K551" i="53"/>
  <c r="K550" i="53"/>
  <c r="K549" i="53"/>
  <c r="K548" i="53"/>
  <c r="K547" i="53"/>
  <c r="K546" i="53"/>
  <c r="K545" i="53"/>
  <c r="K544" i="53"/>
  <c r="K543" i="53"/>
  <c r="K542" i="53"/>
  <c r="K541" i="53"/>
  <c r="K540" i="53"/>
  <c r="K539" i="53"/>
  <c r="K538" i="53"/>
  <c r="K537" i="53"/>
  <c r="K536" i="53"/>
  <c r="K535" i="53"/>
  <c r="K534" i="53"/>
  <c r="K533" i="53"/>
  <c r="K532" i="53"/>
  <c r="K531" i="53"/>
  <c r="K530" i="53"/>
  <c r="K529" i="53"/>
  <c r="K528" i="53"/>
  <c r="K527" i="53"/>
  <c r="K526" i="53"/>
  <c r="K525" i="53"/>
  <c r="K524" i="53"/>
  <c r="K523" i="53"/>
  <c r="K522" i="53"/>
  <c r="K521" i="53"/>
  <c r="K520" i="53"/>
  <c r="K519" i="53"/>
  <c r="K518" i="53"/>
  <c r="K517" i="53"/>
  <c r="K516" i="53"/>
  <c r="K515" i="53"/>
  <c r="K514" i="53"/>
  <c r="K513" i="53"/>
  <c r="K512" i="53"/>
  <c r="K511" i="53"/>
  <c r="K510" i="53"/>
  <c r="K509" i="53"/>
  <c r="K508" i="53"/>
  <c r="K507" i="53"/>
  <c r="K506" i="53"/>
  <c r="K505" i="53"/>
  <c r="K504" i="53"/>
  <c r="K503" i="53"/>
  <c r="K502" i="53"/>
  <c r="K501" i="53"/>
  <c r="K500" i="53"/>
  <c r="K499" i="53"/>
  <c r="K498" i="53"/>
  <c r="K497" i="53"/>
  <c r="K496" i="53"/>
  <c r="K495" i="53"/>
  <c r="K494" i="53"/>
  <c r="K493" i="53"/>
  <c r="K492" i="53"/>
  <c r="K491" i="53"/>
  <c r="K490" i="53"/>
  <c r="K489" i="53"/>
  <c r="K488" i="53"/>
  <c r="K487" i="53"/>
  <c r="K486" i="53"/>
  <c r="K485" i="53"/>
  <c r="K484" i="53"/>
  <c r="K483" i="53"/>
  <c r="K482" i="53"/>
  <c r="K481" i="53"/>
  <c r="K480" i="53"/>
  <c r="K479" i="53"/>
  <c r="K478" i="53"/>
  <c r="K477" i="53"/>
  <c r="K476" i="53"/>
  <c r="K475" i="53"/>
  <c r="K474" i="53"/>
  <c r="K473" i="53"/>
  <c r="K472" i="53"/>
  <c r="K471" i="53"/>
  <c r="K470" i="53"/>
  <c r="K469" i="53"/>
  <c r="K468" i="53"/>
  <c r="K467" i="53"/>
  <c r="K466" i="53"/>
  <c r="K465" i="53"/>
  <c r="K464" i="53"/>
  <c r="K463" i="53"/>
  <c r="K462" i="53"/>
  <c r="K461" i="53"/>
  <c r="K460" i="53"/>
  <c r="K459" i="53"/>
  <c r="K458" i="53"/>
  <c r="K457" i="53"/>
  <c r="K456" i="53"/>
  <c r="K455" i="53"/>
  <c r="K454" i="53"/>
  <c r="K453" i="53"/>
  <c r="K452" i="53"/>
  <c r="K451" i="53"/>
  <c r="K450" i="53"/>
  <c r="K449" i="53"/>
  <c r="K448" i="53"/>
  <c r="K447" i="53"/>
  <c r="K446" i="53"/>
  <c r="K445" i="53"/>
  <c r="K444" i="53"/>
  <c r="K443" i="53"/>
  <c r="K442" i="53"/>
  <c r="K441" i="53"/>
  <c r="K440" i="53"/>
  <c r="K439" i="53"/>
  <c r="K438" i="53"/>
  <c r="K437" i="53"/>
  <c r="K436" i="53"/>
  <c r="K435" i="53"/>
  <c r="K434" i="53"/>
  <c r="K433" i="53"/>
  <c r="K432" i="53"/>
  <c r="K431" i="53"/>
  <c r="K430" i="53"/>
  <c r="K429" i="53"/>
  <c r="K428" i="53"/>
  <c r="K427" i="53"/>
  <c r="K426" i="53"/>
  <c r="K425" i="53"/>
  <c r="K424" i="53"/>
  <c r="K423" i="53"/>
  <c r="K422" i="53"/>
  <c r="K421" i="53"/>
  <c r="K420" i="53"/>
  <c r="K419" i="53"/>
  <c r="K418" i="53"/>
  <c r="K417" i="53"/>
  <c r="K416" i="53"/>
  <c r="K415" i="53"/>
  <c r="K414" i="53"/>
  <c r="K413" i="53"/>
  <c r="K412" i="53"/>
  <c r="K411" i="53"/>
  <c r="K410" i="53"/>
  <c r="K409" i="53"/>
  <c r="K408" i="53"/>
  <c r="K407" i="53"/>
  <c r="K406" i="53"/>
  <c r="K405" i="53"/>
  <c r="K404" i="53"/>
  <c r="K403" i="53"/>
  <c r="K402" i="53"/>
  <c r="K401" i="53"/>
  <c r="K400" i="53"/>
  <c r="K399" i="53"/>
  <c r="K398" i="53"/>
  <c r="K397" i="53"/>
  <c r="K396" i="53"/>
  <c r="K395" i="53"/>
  <c r="K394" i="53"/>
  <c r="K393" i="53"/>
  <c r="K392" i="53"/>
  <c r="K391" i="53"/>
  <c r="K390" i="53"/>
  <c r="K389" i="53"/>
  <c r="K388" i="53"/>
  <c r="K387" i="53"/>
  <c r="K386" i="53"/>
  <c r="K385" i="53"/>
  <c r="K384" i="53"/>
  <c r="K383" i="53"/>
  <c r="K382" i="53"/>
  <c r="K381" i="53"/>
  <c r="K380" i="53"/>
  <c r="K379" i="53"/>
  <c r="K378" i="53"/>
  <c r="K377" i="53"/>
  <c r="K376" i="53"/>
  <c r="K375" i="53"/>
  <c r="K374" i="53"/>
  <c r="K373" i="53"/>
  <c r="K372" i="53"/>
  <c r="K371" i="53"/>
  <c r="K370" i="53"/>
  <c r="K369" i="53"/>
  <c r="K368" i="53"/>
  <c r="K367" i="53"/>
  <c r="K366" i="53"/>
  <c r="K365" i="53"/>
  <c r="K364" i="53"/>
  <c r="K363" i="53"/>
  <c r="K362" i="53"/>
  <c r="K361" i="53"/>
  <c r="K360" i="53"/>
  <c r="K359" i="53"/>
  <c r="K358" i="53"/>
  <c r="K357" i="53"/>
  <c r="K356" i="53"/>
  <c r="K355" i="53"/>
  <c r="K354" i="53"/>
  <c r="K353" i="53"/>
  <c r="K352" i="53"/>
  <c r="K351" i="53"/>
  <c r="K350" i="53"/>
  <c r="K349" i="53"/>
  <c r="K348" i="53"/>
  <c r="K347" i="53"/>
  <c r="K346" i="53"/>
  <c r="K345" i="53"/>
  <c r="K344" i="53"/>
  <c r="K343" i="53"/>
  <c r="K342" i="53"/>
  <c r="K341" i="53"/>
  <c r="K340" i="53"/>
  <c r="K339" i="53"/>
  <c r="K338" i="53"/>
  <c r="K337" i="53"/>
  <c r="K336" i="53"/>
  <c r="K335" i="53"/>
  <c r="K334" i="53"/>
  <c r="K333" i="53"/>
  <c r="K332" i="53"/>
  <c r="K331" i="53"/>
  <c r="K330" i="53"/>
  <c r="K329" i="53"/>
  <c r="K328" i="53"/>
  <c r="K327" i="53"/>
  <c r="K326" i="53"/>
  <c r="K325" i="53"/>
  <c r="K324" i="53"/>
  <c r="K323" i="53"/>
  <c r="K322" i="53"/>
  <c r="K321" i="53"/>
  <c r="K320" i="53"/>
  <c r="K319" i="53"/>
  <c r="K318" i="53"/>
  <c r="K317" i="53"/>
  <c r="K316" i="53"/>
  <c r="K315" i="53"/>
  <c r="K314" i="53"/>
  <c r="K313" i="53"/>
  <c r="K312" i="53"/>
  <c r="K311" i="53"/>
  <c r="K310" i="53"/>
  <c r="K309" i="53"/>
  <c r="K308" i="53"/>
  <c r="K307" i="53"/>
  <c r="K306" i="53"/>
  <c r="K305" i="53"/>
  <c r="K304" i="53"/>
  <c r="K303" i="53"/>
  <c r="K302" i="53"/>
  <c r="K301" i="53"/>
  <c r="K300" i="53"/>
  <c r="K299" i="53"/>
  <c r="K298" i="53"/>
  <c r="K297" i="53"/>
  <c r="K296" i="53"/>
  <c r="K295" i="53"/>
  <c r="K294" i="53"/>
  <c r="K293" i="53"/>
  <c r="K292" i="53"/>
  <c r="K291" i="53"/>
  <c r="K290" i="53"/>
  <c r="K289" i="53"/>
  <c r="K288" i="53"/>
  <c r="K287" i="53"/>
  <c r="K286" i="53"/>
  <c r="K285" i="53"/>
  <c r="K284" i="53"/>
  <c r="K283" i="53"/>
  <c r="K282" i="53"/>
  <c r="K281" i="53"/>
  <c r="K280" i="53"/>
  <c r="K279" i="53"/>
  <c r="K278" i="53"/>
  <c r="K277" i="53"/>
  <c r="K276" i="53"/>
  <c r="K275" i="53"/>
  <c r="K274" i="53"/>
  <c r="K273" i="53"/>
  <c r="K272" i="53"/>
  <c r="K271" i="53"/>
  <c r="K270" i="53"/>
  <c r="K269" i="53"/>
  <c r="K268" i="53"/>
  <c r="K267" i="53"/>
  <c r="K266" i="53"/>
  <c r="K265" i="53"/>
  <c r="K264" i="53"/>
  <c r="K263" i="53"/>
  <c r="K262" i="53"/>
  <c r="K261" i="53"/>
  <c r="K260" i="53"/>
  <c r="K259" i="53"/>
  <c r="K258" i="53"/>
  <c r="K257" i="53"/>
  <c r="K256" i="53"/>
  <c r="K255" i="53"/>
  <c r="K254" i="53"/>
  <c r="K253" i="53"/>
  <c r="K252" i="53"/>
  <c r="K251" i="53"/>
  <c r="K250" i="53"/>
  <c r="K249" i="53"/>
  <c r="K248" i="53"/>
  <c r="K247" i="53"/>
  <c r="K246" i="53"/>
  <c r="K245" i="53"/>
  <c r="K244" i="53"/>
  <c r="K243" i="53"/>
  <c r="K242" i="53"/>
  <c r="K241" i="53"/>
  <c r="K240" i="53"/>
  <c r="K239" i="53"/>
  <c r="K238" i="53"/>
  <c r="K237" i="53"/>
  <c r="K236" i="53"/>
  <c r="K235" i="53"/>
  <c r="K234" i="53"/>
  <c r="K233" i="53"/>
  <c r="K232" i="53"/>
  <c r="K231" i="53"/>
  <c r="K230" i="53"/>
  <c r="K229" i="53"/>
  <c r="K228" i="53"/>
  <c r="K227" i="53"/>
  <c r="K226" i="53"/>
  <c r="K225" i="53"/>
  <c r="K224" i="53"/>
  <c r="K223" i="53"/>
  <c r="K222" i="53"/>
  <c r="K221" i="53"/>
  <c r="K220" i="53"/>
  <c r="K219" i="53"/>
  <c r="K218" i="53"/>
  <c r="K217" i="53"/>
  <c r="K216" i="53"/>
  <c r="K215" i="53"/>
  <c r="K214" i="53"/>
  <c r="K213" i="53"/>
  <c r="K212" i="53"/>
  <c r="K211" i="53"/>
  <c r="K210" i="53"/>
  <c r="K209" i="53"/>
  <c r="K208" i="53"/>
  <c r="K207" i="53"/>
  <c r="K206" i="53"/>
  <c r="K205" i="53"/>
  <c r="K204" i="53"/>
  <c r="K203" i="53"/>
  <c r="K202" i="53"/>
  <c r="K201" i="53"/>
  <c r="K200" i="53"/>
  <c r="K199" i="53"/>
  <c r="K198" i="53"/>
  <c r="K197" i="53"/>
  <c r="K196" i="53"/>
  <c r="K195" i="53"/>
  <c r="K194" i="53"/>
  <c r="K193" i="53"/>
  <c r="K192" i="53"/>
  <c r="K191" i="53"/>
  <c r="K190" i="53"/>
  <c r="K189" i="53"/>
  <c r="K188" i="53"/>
  <c r="K187" i="53"/>
  <c r="K186" i="53"/>
  <c r="K185" i="53"/>
  <c r="K184" i="53"/>
  <c r="K183" i="53"/>
  <c r="K182" i="53"/>
  <c r="K181" i="53"/>
  <c r="K180" i="53"/>
  <c r="K179" i="53"/>
  <c r="K178" i="53"/>
  <c r="K177" i="53"/>
  <c r="K176" i="53"/>
  <c r="K175" i="53"/>
  <c r="K174" i="53"/>
  <c r="K173" i="53"/>
  <c r="K172" i="53"/>
  <c r="K171" i="53"/>
  <c r="K170" i="53"/>
  <c r="K169" i="53"/>
  <c r="K168" i="53"/>
  <c r="K167" i="53"/>
  <c r="K166" i="53"/>
  <c r="K165" i="53"/>
  <c r="K164" i="53"/>
  <c r="K163" i="53"/>
  <c r="K162" i="53"/>
  <c r="K161" i="53"/>
  <c r="K160" i="53"/>
  <c r="K159" i="53"/>
  <c r="K158" i="53"/>
  <c r="K157" i="53"/>
  <c r="K156" i="53"/>
  <c r="K155" i="53"/>
  <c r="K154" i="53"/>
  <c r="K153" i="53"/>
  <c r="K152" i="53"/>
  <c r="K151" i="53"/>
  <c r="K150" i="53"/>
  <c r="K149" i="53"/>
  <c r="K148" i="53"/>
  <c r="K147" i="53"/>
  <c r="K146" i="53"/>
  <c r="K145" i="53"/>
  <c r="K144" i="53"/>
  <c r="K143" i="53"/>
  <c r="K142" i="53"/>
  <c r="K141" i="53"/>
  <c r="K140" i="53"/>
  <c r="K139" i="53"/>
  <c r="K138" i="53"/>
  <c r="K137" i="53"/>
  <c r="K136" i="53"/>
  <c r="K135" i="53"/>
  <c r="K134" i="53"/>
  <c r="K133" i="53"/>
  <c r="K132" i="53"/>
  <c r="K131" i="53"/>
  <c r="K130" i="53"/>
  <c r="K129" i="53"/>
  <c r="K128" i="53"/>
  <c r="K127" i="53"/>
  <c r="K126" i="53"/>
  <c r="K125" i="53"/>
  <c r="K124" i="53"/>
  <c r="K123" i="53"/>
  <c r="K122" i="53"/>
  <c r="K121" i="53"/>
  <c r="K120" i="53"/>
  <c r="K119" i="53"/>
  <c r="K118" i="53"/>
  <c r="K117" i="53"/>
  <c r="K116" i="53"/>
  <c r="K115" i="53"/>
  <c r="K114" i="53"/>
  <c r="K113" i="53"/>
  <c r="K112" i="53"/>
  <c r="K111" i="53"/>
  <c r="K110" i="53"/>
  <c r="K109" i="53"/>
  <c r="K108" i="53"/>
  <c r="K107" i="53"/>
  <c r="K106" i="53"/>
  <c r="K105" i="53"/>
  <c r="K104" i="53"/>
  <c r="K103" i="53"/>
  <c r="K102" i="53"/>
  <c r="K101" i="53"/>
  <c r="K100" i="53"/>
  <c r="K99" i="53"/>
  <c r="K98" i="53"/>
  <c r="K97" i="53"/>
  <c r="K96" i="53"/>
  <c r="K95" i="53"/>
  <c r="K94" i="53"/>
  <c r="K93" i="53"/>
  <c r="K92" i="53"/>
  <c r="K91" i="53"/>
  <c r="K90" i="53"/>
  <c r="K89" i="53"/>
  <c r="K88" i="53"/>
  <c r="K87" i="53"/>
  <c r="K86" i="53"/>
  <c r="K85" i="53"/>
  <c r="K84" i="53"/>
  <c r="K83" i="53"/>
  <c r="K82" i="53"/>
  <c r="K81" i="53"/>
  <c r="K80" i="53"/>
  <c r="K79" i="53"/>
  <c r="K78" i="53"/>
  <c r="K77" i="53"/>
  <c r="K76" i="53"/>
  <c r="K75" i="53"/>
  <c r="K74" i="53"/>
  <c r="K73" i="53"/>
  <c r="K72" i="53"/>
  <c r="K71" i="53"/>
  <c r="K70" i="53"/>
  <c r="K69" i="53"/>
  <c r="K68" i="53"/>
  <c r="K67" i="53"/>
  <c r="K66" i="53"/>
  <c r="K65" i="53"/>
  <c r="K64" i="53"/>
  <c r="K63" i="53"/>
  <c r="K62" i="53"/>
  <c r="K61" i="53"/>
  <c r="K60" i="53"/>
  <c r="K59" i="53"/>
  <c r="K58" i="53"/>
  <c r="K57" i="53"/>
  <c r="K56" i="53"/>
  <c r="K55" i="53"/>
  <c r="K54" i="53"/>
  <c r="K53" i="53"/>
  <c r="K52" i="53"/>
  <c r="K51" i="53"/>
  <c r="K50" i="53"/>
  <c r="K49" i="53"/>
  <c r="K48" i="53"/>
  <c r="K47" i="53"/>
  <c r="K46" i="53"/>
  <c r="K45" i="53"/>
  <c r="K44" i="53"/>
  <c r="K43" i="53"/>
  <c r="K42" i="53"/>
  <c r="K41" i="53"/>
  <c r="K40" i="53"/>
  <c r="K39" i="53"/>
  <c r="K38" i="53"/>
  <c r="K37" i="53"/>
  <c r="K36" i="53"/>
  <c r="K35" i="53"/>
  <c r="K34" i="53"/>
  <c r="K33" i="53"/>
  <c r="K32" i="53"/>
  <c r="K31" i="53"/>
  <c r="K30" i="53"/>
  <c r="K29" i="53"/>
  <c r="K28" i="53"/>
  <c r="K27" i="53"/>
  <c r="K26" i="53"/>
  <c r="K25" i="53"/>
  <c r="K24" i="53"/>
  <c r="K23" i="53"/>
  <c r="K22" i="53"/>
  <c r="K21" i="53"/>
  <c r="K20" i="53"/>
  <c r="K19" i="53"/>
  <c r="K18" i="53"/>
  <c r="K17" i="53"/>
  <c r="K16" i="53"/>
  <c r="K15" i="53"/>
  <c r="K14" i="53"/>
  <c r="K13" i="53"/>
  <c r="K12" i="53"/>
  <c r="K11" i="53"/>
  <c r="K10" i="53"/>
  <c r="K9" i="53"/>
  <c r="K8" i="53"/>
  <c r="K7" i="53"/>
  <c r="K6" i="53"/>
  <c r="K5" i="53"/>
  <c r="K4" i="53"/>
  <c r="K3" i="53"/>
  <c r="U58" i="53" l="1"/>
  <c r="T25" i="53"/>
  <c r="U27" i="53"/>
  <c r="U5" i="53"/>
  <c r="U26" i="53"/>
  <c r="U20" i="53"/>
  <c r="U48" i="53"/>
  <c r="U28" i="53"/>
  <c r="U36" i="53"/>
  <c r="U52" i="53"/>
  <c r="U60" i="53"/>
  <c r="U68" i="53"/>
  <c r="T60" i="53"/>
  <c r="T68" i="53"/>
  <c r="U70" i="53"/>
  <c r="T26" i="53"/>
  <c r="T50" i="53"/>
  <c r="AT46" i="53"/>
  <c r="T47" i="53"/>
  <c r="AT54" i="53"/>
  <c r="T70" i="53"/>
  <c r="U13" i="53"/>
  <c r="U21" i="53"/>
  <c r="U29" i="53"/>
  <c r="T35" i="53"/>
  <c r="U37" i="53"/>
  <c r="U45" i="53"/>
  <c r="U53" i="53"/>
  <c r="T56" i="53"/>
  <c r="T64" i="53"/>
  <c r="U7" i="53"/>
  <c r="U15" i="53"/>
  <c r="U23" i="53"/>
  <c r="T29" i="53"/>
  <c r="U39" i="53"/>
  <c r="U47" i="53"/>
  <c r="T53" i="53"/>
  <c r="T69" i="53"/>
  <c r="AT40" i="53"/>
  <c r="T3" i="53"/>
  <c r="T11" i="53"/>
  <c r="T12" i="53"/>
  <c r="T14" i="53"/>
  <c r="U16" i="53"/>
  <c r="T22" i="53"/>
  <c r="T30" i="53"/>
  <c r="T38" i="53"/>
  <c r="T54" i="53"/>
  <c r="T57" i="53"/>
  <c r="U59" i="53"/>
  <c r="AY3" i="53"/>
  <c r="AS11" i="53"/>
  <c r="AT13" i="53"/>
  <c r="AT29" i="53"/>
  <c r="AS35" i="53"/>
  <c r="AT37" i="53"/>
  <c r="AT45" i="53"/>
  <c r="AX7" i="53"/>
  <c r="AT53" i="53"/>
  <c r="AT5" i="53"/>
  <c r="AS56" i="53"/>
  <c r="AS64" i="53"/>
  <c r="AT66" i="53"/>
  <c r="T32" i="53"/>
  <c r="T48" i="53"/>
  <c r="U50" i="53"/>
  <c r="U61" i="53"/>
  <c r="U64" i="53"/>
  <c r="U69" i="53"/>
  <c r="AT7" i="53"/>
  <c r="AT47" i="53"/>
  <c r="AS53" i="53"/>
  <c r="AS69" i="53"/>
  <c r="U4" i="53"/>
  <c r="U12" i="53"/>
  <c r="T24" i="53"/>
  <c r="AT4" i="53"/>
  <c r="AT12" i="53"/>
  <c r="AT28" i="53"/>
  <c r="AT36" i="53"/>
  <c r="AT52" i="53"/>
  <c r="AT60" i="53"/>
  <c r="AT68" i="53"/>
  <c r="T61" i="53"/>
  <c r="U6" i="53"/>
  <c r="T7" i="53"/>
  <c r="U25" i="53"/>
  <c r="U41" i="53"/>
  <c r="T58" i="53"/>
  <c r="T66" i="53"/>
  <c r="AZ4" i="53"/>
  <c r="AS60" i="53"/>
  <c r="AS68" i="53"/>
  <c r="AT70" i="53"/>
  <c r="U3" i="53"/>
  <c r="T4" i="53"/>
  <c r="U11" i="53"/>
  <c r="T15" i="53"/>
  <c r="T20" i="53"/>
  <c r="U22" i="53"/>
  <c r="T28" i="53"/>
  <c r="U30" i="53"/>
  <c r="T36" i="53"/>
  <c r="U38" i="53"/>
  <c r="T44" i="53"/>
  <c r="T52" i="53"/>
  <c r="U54" i="53"/>
  <c r="T55" i="53"/>
  <c r="T63" i="53"/>
  <c r="AS4" i="53"/>
  <c r="AT11" i="53"/>
  <c r="BA7" i="53"/>
  <c r="AT59" i="53"/>
  <c r="BA3" i="53"/>
  <c r="AX3" i="53"/>
  <c r="AZ5" i="53"/>
  <c r="AT32" i="53"/>
  <c r="AT35" i="53"/>
  <c r="AT56" i="53"/>
  <c r="AT64" i="53"/>
  <c r="BA5" i="53"/>
  <c r="AX6" i="53"/>
  <c r="AL11" i="35" s="1"/>
  <c r="AZ6" i="53"/>
  <c r="BA4" i="53"/>
  <c r="BA6" i="53"/>
  <c r="BA8" i="53"/>
  <c r="AX5" i="53"/>
  <c r="AK11" i="35" s="1"/>
  <c r="AS37" i="53"/>
  <c r="AS66" i="53"/>
  <c r="AT14" i="53"/>
  <c r="AS33" i="53"/>
  <c r="AS41" i="53"/>
  <c r="AS49" i="53"/>
  <c r="AT67" i="53"/>
  <c r="AS31" i="53"/>
  <c r="AS62" i="53"/>
  <c r="AS27" i="53"/>
  <c r="AT69" i="53"/>
  <c r="AS34" i="53"/>
  <c r="AT8" i="53"/>
  <c r="AS5" i="53"/>
  <c r="AS40" i="53"/>
  <c r="AS12" i="53"/>
  <c r="AS55" i="53"/>
  <c r="AS63" i="53"/>
  <c r="AS9" i="53"/>
  <c r="AS36" i="53"/>
  <c r="AS39" i="53"/>
  <c r="AS44" i="53"/>
  <c r="AS52" i="53"/>
  <c r="AS30" i="53"/>
  <c r="AS8" i="53"/>
  <c r="AS43" i="53"/>
  <c r="AS59" i="53"/>
  <c r="AS67" i="53"/>
  <c r="AS70" i="53"/>
  <c r="AS32" i="53"/>
  <c r="AS58" i="53"/>
  <c r="AS61" i="53"/>
  <c r="AS14" i="53"/>
  <c r="AS46" i="53"/>
  <c r="AS28" i="53"/>
  <c r="AS54" i="53"/>
  <c r="AS10" i="53"/>
  <c r="AS13" i="53"/>
  <c r="AS42" i="53"/>
  <c r="AS45" i="53"/>
  <c r="AS48" i="53"/>
  <c r="AS65" i="53"/>
  <c r="AS6" i="53"/>
  <c r="AS38" i="53"/>
  <c r="AT44" i="53"/>
  <c r="AT38" i="53"/>
  <c r="AT62" i="53"/>
  <c r="AT31" i="53"/>
  <c r="AT55" i="53"/>
  <c r="AT63" i="53"/>
  <c r="AT9" i="53"/>
  <c r="AT33" i="53"/>
  <c r="AT49" i="53"/>
  <c r="AT57" i="53"/>
  <c r="AT10" i="53"/>
  <c r="AT34" i="53"/>
  <c r="AT42" i="53"/>
  <c r="AT41" i="53"/>
  <c r="AT30" i="53"/>
  <c r="AT61" i="53"/>
  <c r="AT65" i="53"/>
  <c r="AT43" i="53"/>
  <c r="AT50" i="53"/>
  <c r="U46" i="53"/>
  <c r="U49" i="53"/>
  <c r="U55" i="53"/>
  <c r="T59" i="53"/>
  <c r="U65" i="53"/>
  <c r="T6" i="53"/>
  <c r="T9" i="53"/>
  <c r="T16" i="53"/>
  <c r="T18" i="53"/>
  <c r="T21" i="53"/>
  <c r="U24" i="53"/>
  <c r="T34" i="53"/>
  <c r="T37" i="53"/>
  <c r="U40" i="53"/>
  <c r="T43" i="53"/>
  <c r="T62" i="53"/>
  <c r="U8" i="53"/>
  <c r="U14" i="53"/>
  <c r="U17" i="53"/>
  <c r="T27" i="53"/>
  <c r="T31" i="53"/>
  <c r="U33" i="53"/>
  <c r="U42" i="53"/>
  <c r="T46" i="53"/>
  <c r="T49" i="53"/>
  <c r="U51" i="53"/>
  <c r="T65" i="53"/>
  <c r="U67" i="53"/>
  <c r="U10" i="53"/>
  <c r="T17" i="53"/>
  <c r="U19" i="53"/>
  <c r="U32" i="53"/>
  <c r="T33" i="53"/>
  <c r="U35" i="53"/>
  <c r="T40" i="53"/>
  <c r="T42" i="53"/>
  <c r="U44" i="53"/>
  <c r="T45" i="53"/>
  <c r="T51" i="53"/>
  <c r="U57" i="53"/>
  <c r="U63" i="53"/>
  <c r="T67" i="53"/>
  <c r="T5" i="53"/>
  <c r="T8" i="53"/>
  <c r="T10" i="53"/>
  <c r="T13" i="53"/>
  <c r="T19" i="53"/>
  <c r="U9" i="53"/>
  <c r="U18" i="53"/>
  <c r="T23" i="53"/>
  <c r="U31" i="53"/>
  <c r="U34" i="53"/>
  <c r="T39" i="53"/>
  <c r="T41" i="53"/>
  <c r="U43" i="53"/>
  <c r="U56" i="53"/>
  <c r="U62" i="53"/>
  <c r="AO11" i="35" l="1"/>
  <c r="AM11" i="35"/>
  <c r="AZ7" i="53"/>
  <c r="AY7" i="53"/>
  <c r="BB8" i="53"/>
  <c r="AY4" i="53"/>
  <c r="AI11" i="35"/>
  <c r="AY6" i="53"/>
  <c r="BB6" i="53" s="1"/>
  <c r="AL13" i="35" s="1"/>
  <c r="AS57" i="53"/>
  <c r="AS29" i="53"/>
  <c r="AT48" i="53"/>
  <c r="AS3" i="53"/>
  <c r="AS7" i="53"/>
  <c r="AS47" i="53"/>
  <c r="AY5" i="53"/>
  <c r="AW6" i="53"/>
  <c r="AW3" i="53"/>
  <c r="AT58" i="53"/>
  <c r="AS50" i="53"/>
  <c r="AZ3" i="53"/>
  <c r="AW4" i="53"/>
  <c r="AW5" i="53"/>
  <c r="AT6" i="53"/>
  <c r="AX4" i="53"/>
  <c r="AN11" i="35" s="1"/>
  <c r="AT39" i="53"/>
  <c r="AT27" i="53"/>
  <c r="AN13" i="35" l="1"/>
  <c r="BB7" i="53"/>
  <c r="AM13" i="35" s="1"/>
  <c r="BB4" i="53"/>
  <c r="AI14" i="35"/>
  <c r="AO10" i="35"/>
  <c r="AO18" i="35" s="1"/>
  <c r="AL10" i="35"/>
  <c r="AL18" i="35" s="1"/>
  <c r="AM10" i="35"/>
  <c r="AM18" i="35" s="1"/>
  <c r="BB5" i="53"/>
  <c r="AK13" i="35" s="1"/>
  <c r="AI10" i="35"/>
  <c r="AI18" i="35" s="1"/>
  <c r="BC6" i="53"/>
  <c r="BC3" i="53"/>
  <c r="BC7" i="53"/>
  <c r="AK10" i="35"/>
  <c r="AK18" i="35" s="1"/>
  <c r="AJ10" i="35"/>
  <c r="AJ18" i="35" s="1"/>
  <c r="AJ11" i="35"/>
  <c r="BC8" i="53"/>
  <c r="AN10" i="35"/>
  <c r="AN18" i="35" s="1"/>
  <c r="BB3" i="53"/>
  <c r="BC4" i="53"/>
  <c r="AP11" i="35" l="1"/>
  <c r="AJ13" i="35"/>
  <c r="AN19" i="35"/>
  <c r="AA19" i="35"/>
  <c r="AJ14" i="35"/>
  <c r="AL14" i="35"/>
  <c r="AM14" i="35"/>
  <c r="AO14" i="35"/>
  <c r="AK14" i="35"/>
  <c r="AN14" i="35"/>
  <c r="Z18" i="35" s="1"/>
  <c r="AP10" i="35"/>
  <c r="AP18" i="35" s="1"/>
  <c r="Z17" i="35" l="1"/>
  <c r="Z27" i="35" s="1"/>
  <c r="AA20" i="35"/>
  <c r="AI19" i="35"/>
  <c r="AJ19" i="35"/>
  <c r="AM19" i="35"/>
  <c r="AL19" i="35"/>
  <c r="AO19" i="35"/>
  <c r="AK19" i="35"/>
  <c r="C20" i="35"/>
  <c r="D19" i="35"/>
  <c r="E19" i="35" s="1"/>
  <c r="F19" i="35" s="1"/>
  <c r="G19" i="35" s="1"/>
  <c r="H19" i="35" s="1"/>
  <c r="C23" i="63" l="1"/>
  <c r="AA18" i="35" l="1"/>
  <c r="AB18" i="35" s="1"/>
  <c r="AC18" i="35" s="1"/>
  <c r="J20" i="46"/>
  <c r="I20" i="46"/>
  <c r="H20" i="46"/>
  <c r="F20" i="46"/>
  <c r="E20" i="46"/>
  <c r="J15" i="46"/>
  <c r="I15" i="46"/>
  <c r="H15" i="46"/>
  <c r="G15" i="46"/>
  <c r="F15" i="46"/>
  <c r="E15" i="46"/>
  <c r="J10" i="46"/>
  <c r="I10" i="46"/>
  <c r="I31" i="46" s="1"/>
  <c r="H10" i="46"/>
  <c r="F10" i="46"/>
  <c r="J31" i="46" l="1"/>
  <c r="G41" i="39" s="1"/>
  <c r="H31" i="46"/>
  <c r="G31" i="46"/>
  <c r="J28" i="37" s="1"/>
  <c r="K28" i="37"/>
  <c r="AD18" i="35"/>
  <c r="K8" i="39"/>
  <c r="K9" i="39" s="1"/>
  <c r="L8" i="39"/>
  <c r="L9" i="39" s="1"/>
  <c r="M8" i="39"/>
  <c r="M9" i="39" s="1"/>
  <c r="N8" i="39"/>
  <c r="N9" i="39" s="1"/>
  <c r="E41" i="39" l="1"/>
  <c r="D41" i="39"/>
  <c r="M28" i="37"/>
  <c r="L28" i="37"/>
  <c r="F41" i="39"/>
  <c r="AE18" i="35"/>
  <c r="F26" i="39"/>
  <c r="G26" i="39"/>
  <c r="E26" i="39"/>
  <c r="H41" i="39" l="1"/>
  <c r="F46" i="28" s="1"/>
  <c r="F47" i="28" s="1"/>
  <c r="F50" i="28" s="1"/>
  <c r="C28" i="63" s="1"/>
  <c r="N28" i="37"/>
  <c r="H52" i="28"/>
  <c r="J61" i="45"/>
  <c r="J60" i="45"/>
  <c r="J50" i="45"/>
  <c r="J41" i="45"/>
  <c r="J64" i="45"/>
  <c r="J11" i="45"/>
  <c r="J15" i="45"/>
  <c r="J30" i="45"/>
  <c r="J53" i="45"/>
  <c r="J52" i="45"/>
  <c r="J42" i="45"/>
  <c r="J33" i="45"/>
  <c r="J56" i="45"/>
  <c r="J57" i="45"/>
  <c r="J35" i="45"/>
  <c r="J22" i="45"/>
  <c r="J20" i="45"/>
  <c r="J54" i="45"/>
  <c r="J29" i="45"/>
  <c r="J44" i="45"/>
  <c r="J34" i="45"/>
  <c r="J25" i="45"/>
  <c r="J48" i="45"/>
  <c r="J63" i="45"/>
  <c r="J7" i="45"/>
  <c r="J14" i="45"/>
  <c r="J10" i="45"/>
  <c r="J13" i="45"/>
  <c r="J36" i="45"/>
  <c r="J26" i="45"/>
  <c r="J17" i="45"/>
  <c r="J40" i="45"/>
  <c r="J55" i="45"/>
  <c r="J49" i="45"/>
  <c r="J47" i="45"/>
  <c r="J45" i="45"/>
  <c r="J39" i="45"/>
  <c r="J19" i="45"/>
  <c r="J28" i="45"/>
  <c r="J18" i="45"/>
  <c r="J9" i="45"/>
  <c r="J32" i="45"/>
  <c r="J62" i="45"/>
  <c r="J37" i="45"/>
  <c r="J12" i="45"/>
  <c r="J43" i="45"/>
  <c r="J27" i="45"/>
  <c r="J16" i="45"/>
  <c r="J31" i="45"/>
  <c r="J46" i="45"/>
  <c r="J59" i="45"/>
  <c r="J21" i="45"/>
  <c r="J51" i="45"/>
  <c r="J58" i="45"/>
  <c r="J65" i="45"/>
  <c r="J8" i="45"/>
  <c r="J23" i="45"/>
  <c r="J38" i="45"/>
  <c r="J24" i="45"/>
  <c r="Z26" i="35"/>
  <c r="G46" i="28" l="1"/>
  <c r="G47" i="28" s="1"/>
  <c r="G50" i="28" s="1"/>
  <c r="G53" i="28" s="1"/>
  <c r="H46" i="28"/>
  <c r="H47" i="28" s="1"/>
  <c r="H50" i="28" s="1"/>
  <c r="H53" i="28" s="1"/>
  <c r="I16" i="28"/>
  <c r="F11" i="63" s="1"/>
  <c r="H16" i="28"/>
  <c r="E11" i="63" s="1"/>
  <c r="G16" i="28"/>
  <c r="D11" i="63" s="1"/>
  <c r="F16" i="28"/>
  <c r="C11" i="63" s="1"/>
  <c r="H28" i="35"/>
  <c r="H21" i="35"/>
  <c r="G21" i="35"/>
  <c r="F21" i="35"/>
  <c r="E21" i="35"/>
  <c r="D21" i="35"/>
  <c r="G25" i="44"/>
  <c r="G33" i="44" s="1"/>
  <c r="F25" i="44"/>
  <c r="F33" i="44" s="1"/>
  <c r="E25" i="44"/>
  <c r="E33" i="44" s="1"/>
  <c r="D25" i="44"/>
  <c r="D33" i="44" s="1"/>
  <c r="C25" i="44"/>
  <c r="C7" i="35"/>
  <c r="F53" i="28" l="1"/>
  <c r="E28" i="44"/>
  <c r="C28" i="44"/>
  <c r="F28" i="44"/>
  <c r="D28" i="44"/>
  <c r="G28" i="44"/>
  <c r="AA17" i="35"/>
  <c r="AB20" i="35"/>
  <c r="AB17" i="35" s="1"/>
  <c r="AC20" i="35"/>
  <c r="AC17" i="35" s="1"/>
  <c r="AD20" i="35"/>
  <c r="AD17" i="35" s="1"/>
  <c r="AE20" i="35"/>
  <c r="AE17" i="35" s="1"/>
  <c r="AA16" i="35"/>
  <c r="AB16" i="35"/>
  <c r="AC16" i="35"/>
  <c r="AD16" i="35"/>
  <c r="AE16" i="35"/>
  <c r="D18" i="35"/>
  <c r="D17" i="35" s="1"/>
  <c r="AA13" i="35" l="1"/>
  <c r="AA26" i="35" s="1"/>
  <c r="F20" i="28" s="1"/>
  <c r="C15" i="63" s="1"/>
  <c r="AC13" i="35"/>
  <c r="AC26" i="35" s="1"/>
  <c r="H20" i="28" s="1"/>
  <c r="E15" i="63" s="1"/>
  <c r="AE13" i="35"/>
  <c r="AE26" i="35" s="1"/>
  <c r="AB13" i="35"/>
  <c r="AB26" i="35" s="1"/>
  <c r="G20" i="28" s="1"/>
  <c r="D15" i="63" s="1"/>
  <c r="AD13" i="35"/>
  <c r="AD26" i="35" s="1"/>
  <c r="I20" i="28" s="1"/>
  <c r="F15" i="63" s="1"/>
  <c r="AA27" i="35" l="1"/>
  <c r="F21" i="28" s="1"/>
  <c r="C16" i="63" s="1"/>
  <c r="V12" i="60" l="1"/>
  <c r="V13" i="60"/>
  <c r="AB27" i="35"/>
  <c r="G21" i="28" s="1"/>
  <c r="D16" i="63" s="1"/>
  <c r="AC27" i="35"/>
  <c r="H21" i="28" s="1"/>
  <c r="E16" i="63" s="1"/>
  <c r="Z13" i="60" l="1"/>
  <c r="AA13" i="60"/>
  <c r="W13" i="60"/>
  <c r="Y13" i="60"/>
  <c r="X13" i="60"/>
  <c r="Y12" i="60"/>
  <c r="Z12" i="60"/>
  <c r="AA12" i="60"/>
  <c r="X12" i="60"/>
  <c r="W12" i="60"/>
  <c r="AE27" i="35"/>
  <c r="AD27" i="35"/>
  <c r="I21" i="28" s="1"/>
  <c r="F16" i="63" s="1"/>
  <c r="C27" i="35" l="1"/>
  <c r="C28" i="35" l="1"/>
  <c r="G28" i="35"/>
  <c r="F28" i="35"/>
  <c r="D28" i="35"/>
  <c r="E28" i="35"/>
  <c r="H8" i="39" l="1"/>
  <c r="H9" i="39"/>
  <c r="H10" i="39"/>
  <c r="H11" i="39"/>
  <c r="F7" i="39"/>
  <c r="H18" i="39"/>
  <c r="H19" i="39"/>
  <c r="H20" i="39"/>
  <c r="H21" i="39"/>
  <c r="H22" i="39"/>
  <c r="H23" i="39"/>
  <c r="H24" i="39"/>
  <c r="E33" i="39"/>
  <c r="D12" i="37" s="1"/>
  <c r="F31" i="39"/>
  <c r="F33" i="39" s="1"/>
  <c r="E12" i="37" s="1"/>
  <c r="E13" i="37" s="1"/>
  <c r="G31" i="39"/>
  <c r="G33" i="39" s="1"/>
  <c r="F12" i="37" s="1"/>
  <c r="F13" i="37" s="1"/>
  <c r="H31" i="39"/>
  <c r="H33" i="39" s="1"/>
  <c r="G12" i="37" s="1"/>
  <c r="G13" i="37" s="1"/>
  <c r="D8" i="37"/>
  <c r="E8" i="37"/>
  <c r="K8" i="37" s="1"/>
  <c r="F8" i="37"/>
  <c r="G8" i="37"/>
  <c r="D9" i="37"/>
  <c r="J9" i="37" s="1"/>
  <c r="E9" i="37"/>
  <c r="F9" i="37"/>
  <c r="L9" i="37" s="1"/>
  <c r="G9" i="37"/>
  <c r="M9" i="37" s="1"/>
  <c r="D10" i="37"/>
  <c r="E10" i="37"/>
  <c r="K10" i="37" s="1"/>
  <c r="L10" i="37"/>
  <c r="G10" i="37"/>
  <c r="M10" i="37" s="1"/>
  <c r="D11" i="37"/>
  <c r="E11" i="37"/>
  <c r="K11" i="37" s="1"/>
  <c r="L11" i="37"/>
  <c r="G11" i="37"/>
  <c r="M11" i="37" s="1"/>
  <c r="D15" i="37"/>
  <c r="J15" i="37" s="1"/>
  <c r="E15" i="37"/>
  <c r="F15" i="37"/>
  <c r="L15" i="37" s="1"/>
  <c r="G15" i="37"/>
  <c r="M15" i="37" s="1"/>
  <c r="D16" i="37"/>
  <c r="J16" i="37" s="1"/>
  <c r="E16" i="37"/>
  <c r="K16" i="37" s="1"/>
  <c r="F16" i="37"/>
  <c r="L16" i="37" s="1"/>
  <c r="G16" i="37"/>
  <c r="D17" i="37"/>
  <c r="J17" i="37" s="1"/>
  <c r="E17" i="37"/>
  <c r="K17" i="37" s="1"/>
  <c r="F17" i="37"/>
  <c r="L17" i="37" s="1"/>
  <c r="G17" i="37"/>
  <c r="D18" i="37"/>
  <c r="E18" i="37"/>
  <c r="K18" i="37" s="1"/>
  <c r="F18" i="37"/>
  <c r="G18" i="37"/>
  <c r="M18" i="37" s="1"/>
  <c r="D19" i="37"/>
  <c r="J19" i="37" s="1"/>
  <c r="E19" i="37"/>
  <c r="K19" i="37" s="1"/>
  <c r="F19" i="37"/>
  <c r="L19" i="37" s="1"/>
  <c r="G19" i="37"/>
  <c r="M19" i="37" s="1"/>
  <c r="D20" i="37"/>
  <c r="E20" i="37"/>
  <c r="K20" i="37" s="1"/>
  <c r="F20" i="37"/>
  <c r="L20" i="37" s="1"/>
  <c r="G20" i="37"/>
  <c r="M20" i="37" s="1"/>
  <c r="D21" i="37"/>
  <c r="J21" i="37" s="1"/>
  <c r="E21" i="37"/>
  <c r="K21" i="37" s="1"/>
  <c r="F21" i="37"/>
  <c r="L21" i="37" s="1"/>
  <c r="G21" i="37"/>
  <c r="M21" i="37" s="1"/>
  <c r="D22" i="37"/>
  <c r="E22" i="37"/>
  <c r="K22" i="37" s="1"/>
  <c r="F22" i="37"/>
  <c r="L22" i="37" s="1"/>
  <c r="G22" i="37"/>
  <c r="M22" i="37" s="1"/>
  <c r="H15" i="39" l="1"/>
  <c r="L8" i="37"/>
  <c r="F7" i="37"/>
  <c r="J8" i="37"/>
  <c r="H12" i="37"/>
  <c r="D13" i="37"/>
  <c r="D7" i="37" s="1"/>
  <c r="D24" i="37" s="1"/>
  <c r="J11" i="37"/>
  <c r="N11" i="37" s="1"/>
  <c r="H11" i="37"/>
  <c r="D10" i="38"/>
  <c r="C10" i="38"/>
  <c r="N21" i="37"/>
  <c r="N19" i="37"/>
  <c r="H20" i="37"/>
  <c r="H18" i="37"/>
  <c r="H17" i="37"/>
  <c r="H8" i="37"/>
  <c r="M17" i="37"/>
  <c r="N17" i="37" s="1"/>
  <c r="H16" i="37"/>
  <c r="H10" i="37"/>
  <c r="J20" i="37"/>
  <c r="N20" i="37" s="1"/>
  <c r="H22" i="37"/>
  <c r="H9" i="37"/>
  <c r="H21" i="37"/>
  <c r="G14" i="37"/>
  <c r="E14" i="37"/>
  <c r="F14" i="37"/>
  <c r="F10" i="38"/>
  <c r="E10" i="38"/>
  <c r="L12" i="37"/>
  <c r="L13" i="37"/>
  <c r="K12" i="37"/>
  <c r="K13" i="37"/>
  <c r="M13" i="37"/>
  <c r="M12" i="37"/>
  <c r="H26" i="39"/>
  <c r="K15" i="37"/>
  <c r="K14" i="37" s="1"/>
  <c r="L18" i="37"/>
  <c r="L14" i="37" s="1"/>
  <c r="D14" i="37"/>
  <c r="J22" i="37"/>
  <c r="N22" i="37" s="1"/>
  <c r="H19" i="37"/>
  <c r="J18" i="37"/>
  <c r="H15" i="37"/>
  <c r="J10" i="37"/>
  <c r="N10" i="37" s="1"/>
  <c r="N30" i="37"/>
  <c r="M16" i="37"/>
  <c r="N16" i="37" s="1"/>
  <c r="K9" i="37"/>
  <c r="N9" i="37" s="1"/>
  <c r="M8" i="37"/>
  <c r="G10" i="38" l="1"/>
  <c r="B7" i="38" s="1"/>
  <c r="L7" i="37"/>
  <c r="J14" i="37"/>
  <c r="K7" i="37"/>
  <c r="N8" i="37"/>
  <c r="M7" i="37"/>
  <c r="M14" i="37"/>
  <c r="N15" i="37"/>
  <c r="N18" i="37"/>
  <c r="G7" i="39"/>
  <c r="G25" i="39" s="1"/>
  <c r="H13" i="39"/>
  <c r="H7" i="39" s="1"/>
  <c r="H25" i="39" s="1"/>
  <c r="E7" i="39"/>
  <c r="E25" i="39" s="1"/>
  <c r="J12" i="37"/>
  <c r="N12" i="37" s="1"/>
  <c r="E7" i="37"/>
  <c r="G7" i="37"/>
  <c r="H14" i="37"/>
  <c r="D7" i="39"/>
  <c r="D25" i="39" s="1"/>
  <c r="F25" i="39"/>
  <c r="G7" i="38" l="1"/>
  <c r="F7" i="38"/>
  <c r="E7" i="38"/>
  <c r="D7" i="38"/>
  <c r="K24" i="37"/>
  <c r="K29" i="37" s="1"/>
  <c r="G24" i="37"/>
  <c r="L24" i="37"/>
  <c r="L29" i="37" s="1"/>
  <c r="E24" i="37"/>
  <c r="M24" i="37"/>
  <c r="M29" i="37" s="1"/>
  <c r="F24" i="37"/>
  <c r="N14" i="37"/>
  <c r="D23" i="37"/>
  <c r="D25" i="37" s="1"/>
  <c r="G23" i="37"/>
  <c r="G25" i="37" s="1"/>
  <c r="E23" i="37"/>
  <c r="E25" i="37" s="1"/>
  <c r="K23" i="37"/>
  <c r="K25" i="37" s="1"/>
  <c r="F23" i="37"/>
  <c r="F25" i="37" s="1"/>
  <c r="M23" i="37"/>
  <c r="M25" i="37" s="1"/>
  <c r="L23" i="37"/>
  <c r="J13" i="37"/>
  <c r="J7" i="37" s="1"/>
  <c r="H13" i="37"/>
  <c r="J24" i="37" l="1"/>
  <c r="J29" i="37" s="1"/>
  <c r="K31" i="37"/>
  <c r="L25" i="37"/>
  <c r="L31" i="37" s="1"/>
  <c r="M31" i="37"/>
  <c r="H23" i="37"/>
  <c r="N13" i="37"/>
  <c r="N7" i="37" s="1"/>
  <c r="H7" i="37"/>
  <c r="N24" i="37" l="1"/>
  <c r="N29" i="37" s="1"/>
  <c r="H24" i="37"/>
  <c r="H25" i="37"/>
  <c r="J23" i="37"/>
  <c r="J25" i="37" s="1"/>
  <c r="J42" i="32"/>
  <c r="I42" i="32"/>
  <c r="H42" i="32"/>
  <c r="G42" i="32"/>
  <c r="F42" i="32"/>
  <c r="E42" i="32"/>
  <c r="J41" i="32"/>
  <c r="I41" i="32"/>
  <c r="H41" i="32"/>
  <c r="G41" i="32"/>
  <c r="F41" i="32"/>
  <c r="E41" i="32"/>
  <c r="J40" i="32"/>
  <c r="I40" i="32"/>
  <c r="H40" i="32"/>
  <c r="G40" i="32"/>
  <c r="F40" i="32"/>
  <c r="E40" i="32"/>
  <c r="J39" i="32"/>
  <c r="I39" i="32"/>
  <c r="H39" i="32"/>
  <c r="G39" i="32"/>
  <c r="F39" i="32"/>
  <c r="E39" i="32"/>
  <c r="J38" i="32"/>
  <c r="I38" i="32"/>
  <c r="H38" i="32"/>
  <c r="G38" i="32"/>
  <c r="F38" i="32"/>
  <c r="E38" i="32"/>
  <c r="J37" i="32"/>
  <c r="I37" i="32"/>
  <c r="H37" i="32"/>
  <c r="G37" i="32"/>
  <c r="F37" i="32"/>
  <c r="E37" i="32"/>
  <c r="J36" i="32"/>
  <c r="I36" i="32"/>
  <c r="H36" i="32"/>
  <c r="G36" i="32"/>
  <c r="F36" i="32"/>
  <c r="E36" i="32"/>
  <c r="J35" i="32"/>
  <c r="I35" i="32"/>
  <c r="H35" i="32"/>
  <c r="G35" i="32"/>
  <c r="F35" i="32"/>
  <c r="E35" i="32"/>
  <c r="J34" i="32"/>
  <c r="I34" i="32"/>
  <c r="H34" i="32"/>
  <c r="G34" i="32"/>
  <c r="F34" i="32"/>
  <c r="E34" i="32"/>
  <c r="J33" i="32"/>
  <c r="I33" i="32"/>
  <c r="H33" i="32"/>
  <c r="G33" i="32"/>
  <c r="F33" i="32"/>
  <c r="E33" i="32"/>
  <c r="J31" i="32"/>
  <c r="I31" i="32"/>
  <c r="H31" i="32"/>
  <c r="G31" i="32"/>
  <c r="F31" i="32"/>
  <c r="E31" i="32"/>
  <c r="I35" i="54" l="1"/>
  <c r="F43" i="32"/>
  <c r="G43" i="32"/>
  <c r="H43" i="32"/>
  <c r="I43" i="32"/>
  <c r="E43" i="32"/>
  <c r="J43" i="32"/>
  <c r="J31" i="37"/>
  <c r="N23" i="37"/>
  <c r="N25" i="37" s="1"/>
  <c r="N31" i="37" s="1"/>
  <c r="V15" i="60" l="1"/>
  <c r="O29" i="60" l="1"/>
  <c r="Q29" i="60" s="1"/>
  <c r="X15" i="60"/>
  <c r="Y15" i="60"/>
  <c r="AA15" i="60"/>
  <c r="Z15" i="60"/>
  <c r="W15" i="60"/>
  <c r="V17" i="60"/>
  <c r="D13" i="60" s="1"/>
  <c r="Y14" i="60"/>
  <c r="X14" i="60"/>
  <c r="Z14" i="60"/>
  <c r="AA14" i="60"/>
  <c r="W14" i="60"/>
  <c r="V16" i="60"/>
  <c r="D12" i="60" s="1"/>
  <c r="N24" i="60" l="1"/>
  <c r="N34" i="60" s="1"/>
  <c r="P34" i="60" s="1"/>
  <c r="N20" i="60"/>
  <c r="N30" i="60" s="1"/>
  <c r="P30" i="60" s="1"/>
  <c r="N23" i="60"/>
  <c r="N33" i="60" s="1"/>
  <c r="P33" i="60" s="1"/>
  <c r="N21" i="60"/>
  <c r="N31" i="60" s="1"/>
  <c r="P31" i="60" s="1"/>
  <c r="N22" i="60"/>
  <c r="N32" i="60" s="1"/>
  <c r="P32" i="60" s="1"/>
  <c r="G14" i="60"/>
  <c r="I14" i="60"/>
  <c r="F14" i="60"/>
  <c r="E14" i="60"/>
  <c r="H14" i="60"/>
  <c r="O34" i="60" l="1"/>
  <c r="Q34" i="60" s="1"/>
  <c r="O30" i="60"/>
  <c r="Q30" i="60" s="1"/>
  <c r="O33" i="60"/>
  <c r="Q33" i="60" s="1"/>
  <c r="O32" i="60"/>
  <c r="Q32" i="60" s="1"/>
  <c r="O31" i="60"/>
  <c r="Q31" i="60" s="1"/>
  <c r="AA10" i="35"/>
  <c r="AA12" i="35"/>
  <c r="Z25" i="35"/>
  <c r="AA9" i="35" l="1"/>
  <c r="AA25" i="35" s="1"/>
  <c r="F19" i="28" s="1"/>
  <c r="C14" i="63" s="1"/>
  <c r="AB12" i="35"/>
  <c r="AB10" i="35"/>
  <c r="AC10" i="35" s="1"/>
  <c r="F18" i="28" l="1"/>
  <c r="C13" i="63" s="1"/>
  <c r="AB9" i="35"/>
  <c r="AB25" i="35" s="1"/>
  <c r="G19" i="28" s="1"/>
  <c r="D14" i="63" s="1"/>
  <c r="AC12" i="35"/>
  <c r="AD12" i="35"/>
  <c r="AD10" i="35"/>
  <c r="G18" i="28" l="1"/>
  <c r="D13" i="63" s="1"/>
  <c r="AD9" i="35"/>
  <c r="AD25" i="35" s="1"/>
  <c r="I19" i="28" s="1"/>
  <c r="F14" i="63" s="1"/>
  <c r="AC9" i="35"/>
  <c r="AC25" i="35" s="1"/>
  <c r="H19" i="28" s="1"/>
  <c r="E14" i="63" s="1"/>
  <c r="AE12" i="35"/>
  <c r="AE10" i="35"/>
  <c r="H18" i="28" l="1"/>
  <c r="E13" i="63" s="1"/>
  <c r="I18" i="28"/>
  <c r="F13" i="63" s="1"/>
  <c r="AE9" i="35"/>
  <c r="AE25" i="35" s="1"/>
  <c r="K8" i="54" l="1"/>
  <c r="K16" i="54"/>
  <c r="K10" i="54" l="1"/>
  <c r="K11" i="54"/>
  <c r="K19" i="54"/>
  <c r="K35" i="54"/>
  <c r="K36" i="54" l="1"/>
  <c r="F21" i="61"/>
  <c r="F26" i="61" s="1"/>
  <c r="F27" i="61"/>
  <c r="F32" i="61" s="1"/>
  <c r="AH25" i="60"/>
  <c r="K37" i="54" l="1"/>
  <c r="L37" i="54" s="1"/>
  <c r="F28" i="61"/>
  <c r="F30" i="61"/>
  <c r="F29" i="61"/>
  <c r="F31" i="61"/>
  <c r="F23" i="61"/>
  <c r="F25" i="61"/>
  <c r="F22" i="61"/>
  <c r="F24" i="61"/>
  <c r="F29" i="28"/>
  <c r="C20" i="63" s="1"/>
  <c r="N8" i="54"/>
  <c r="L8" i="54"/>
  <c r="M8" i="54"/>
  <c r="N11" i="54" l="1"/>
  <c r="N10" i="54"/>
  <c r="M10" i="54"/>
  <c r="M11" i="54"/>
  <c r="L10" i="54"/>
  <c r="L11" i="54"/>
  <c r="N16" i="54"/>
  <c r="M37" i="54"/>
  <c r="AG25" i="60"/>
  <c r="M16" i="54"/>
  <c r="M19" i="54" s="1"/>
  <c r="L16" i="54"/>
  <c r="L19" i="54" s="1"/>
  <c r="N19" i="54" l="1"/>
  <c r="N18" i="54"/>
  <c r="N25" i="54" s="1"/>
  <c r="N37" i="54"/>
  <c r="N10" i="60"/>
  <c r="O10" i="60"/>
  <c r="L18" i="54"/>
  <c r="M18" i="54"/>
  <c r="N35" i="54" l="1"/>
  <c r="N36" i="54" s="1"/>
  <c r="I27" i="61"/>
  <c r="I32" i="61" s="1"/>
  <c r="AK25" i="60"/>
  <c r="AK27" i="60" s="1"/>
  <c r="I21" i="61"/>
  <c r="I26" i="61" s="1"/>
  <c r="L25" i="54"/>
  <c r="L35" i="54" s="1"/>
  <c r="M25" i="54"/>
  <c r="M35" i="54" s="1"/>
  <c r="I30" i="61"/>
  <c r="I24" i="61"/>
  <c r="G27" i="61"/>
  <c r="G32" i="61" s="1"/>
  <c r="G21" i="61"/>
  <c r="G26" i="61" s="1"/>
  <c r="I29" i="28"/>
  <c r="F20" i="63" s="1"/>
  <c r="H29" i="28"/>
  <c r="E20" i="63" s="1"/>
  <c r="AJ25" i="60"/>
  <c r="G29" i="28"/>
  <c r="D20" i="63" s="1"/>
  <c r="AI25" i="60"/>
  <c r="T17" i="35"/>
  <c r="S17" i="35"/>
  <c r="AG23" i="60"/>
  <c r="U17" i="35"/>
  <c r="R17" i="35"/>
  <c r="R18" i="35" s="1"/>
  <c r="I22" i="61" l="1"/>
  <c r="I28" i="61"/>
  <c r="I31" i="61"/>
  <c r="I29" i="61"/>
  <c r="I25" i="61"/>
  <c r="I23" i="61"/>
  <c r="M36" i="54"/>
  <c r="H21" i="61"/>
  <c r="H27" i="61"/>
  <c r="G23" i="61"/>
  <c r="G25" i="61"/>
  <c r="G24" i="61"/>
  <c r="G22" i="61"/>
  <c r="G31" i="61"/>
  <c r="G28" i="61"/>
  <c r="G30" i="61"/>
  <c r="G29" i="61"/>
  <c r="H22" i="61"/>
  <c r="H24" i="61"/>
  <c r="AI27" i="60"/>
  <c r="P10" i="60"/>
  <c r="N9" i="60"/>
  <c r="O9" i="60"/>
  <c r="AJ27" i="60"/>
  <c r="Q10" i="60"/>
  <c r="R10" i="60"/>
  <c r="T18" i="35"/>
  <c r="T19" i="35" s="1"/>
  <c r="S18" i="35"/>
  <c r="S20" i="35" s="1"/>
  <c r="S30" i="35" s="1"/>
  <c r="R9" i="60"/>
  <c r="AH24" i="60"/>
  <c r="AH27" i="60" s="1"/>
  <c r="AG24" i="60"/>
  <c r="AG27" i="60" s="1"/>
  <c r="R20" i="35"/>
  <c r="R30" i="35" s="1"/>
  <c r="R19" i="35"/>
  <c r="R21" i="35"/>
  <c r="T20" i="35"/>
  <c r="T30" i="35" s="1"/>
  <c r="U18" i="35"/>
  <c r="V17" i="35"/>
  <c r="V18" i="35" s="1"/>
  <c r="H28" i="61" l="1"/>
  <c r="H32" i="61"/>
  <c r="H23" i="61"/>
  <c r="H26" i="61"/>
  <c r="S19" i="35"/>
  <c r="L36" i="54"/>
  <c r="H25" i="61"/>
  <c r="H29" i="61"/>
  <c r="H31" i="61"/>
  <c r="H30" i="61"/>
  <c r="S21" i="35"/>
  <c r="T21" i="35"/>
  <c r="N11" i="60"/>
  <c r="N14" i="60" s="1"/>
  <c r="W16" i="60"/>
  <c r="E12" i="60" s="1"/>
  <c r="W17" i="60"/>
  <c r="E13" i="60" s="1"/>
  <c r="Q11" i="60"/>
  <c r="Q13" i="60" s="1"/>
  <c r="Z16" i="60"/>
  <c r="H12" i="60" s="1"/>
  <c r="Z17" i="60"/>
  <c r="H13" i="60" s="1"/>
  <c r="O11" i="60"/>
  <c r="O14" i="60" s="1"/>
  <c r="X17" i="60"/>
  <c r="F13" i="60" s="1"/>
  <c r="X16" i="60"/>
  <c r="F12" i="60" s="1"/>
  <c r="Y17" i="60"/>
  <c r="G13" i="60" s="1"/>
  <c r="Y16" i="60"/>
  <c r="G12" i="60" s="1"/>
  <c r="N12" i="60"/>
  <c r="Q12" i="60"/>
  <c r="P12" i="60"/>
  <c r="O12" i="60"/>
  <c r="P11" i="60"/>
  <c r="P13" i="60" s="1"/>
  <c r="V21" i="35"/>
  <c r="V19" i="35"/>
  <c r="V20" i="35"/>
  <c r="V30" i="35" s="1"/>
  <c r="E14" i="35"/>
  <c r="E13" i="35" s="1"/>
  <c r="F14" i="35"/>
  <c r="AA16" i="60"/>
  <c r="I12" i="60" s="1"/>
  <c r="R11" i="60"/>
  <c r="R14" i="60" s="1"/>
  <c r="AA17" i="60"/>
  <c r="I13" i="60" s="1"/>
  <c r="R12" i="60"/>
  <c r="U21" i="35"/>
  <c r="U20" i="35"/>
  <c r="U30" i="35" s="1"/>
  <c r="U19" i="35"/>
  <c r="Q14" i="60" l="1"/>
  <c r="N13" i="60"/>
  <c r="E15" i="60" s="1"/>
  <c r="O13" i="60"/>
  <c r="P14" i="60"/>
  <c r="H14" i="35"/>
  <c r="R13" i="60"/>
  <c r="D20" i="35"/>
  <c r="D27" i="35" s="1"/>
  <c r="F12" i="28" s="1"/>
  <c r="E18" i="35"/>
  <c r="E17" i="35" s="1"/>
  <c r="D26" i="35"/>
  <c r="F10" i="28" s="1"/>
  <c r="G14" i="35"/>
  <c r="E16" i="60" l="1"/>
  <c r="F16" i="60" s="1"/>
  <c r="G16" i="60" s="1"/>
  <c r="H16" i="60" s="1"/>
  <c r="I16" i="60" s="1"/>
  <c r="E17" i="60"/>
  <c r="F17" i="60" s="1"/>
  <c r="G17" i="60" s="1"/>
  <c r="H17" i="60" s="1"/>
  <c r="I17" i="60" s="1"/>
  <c r="F15" i="60"/>
  <c r="E26" i="35"/>
  <c r="G10" i="28" s="1"/>
  <c r="F13" i="35"/>
  <c r="E20" i="35"/>
  <c r="E27" i="35" s="1"/>
  <c r="G12" i="28" s="1"/>
  <c r="F18" i="35"/>
  <c r="F17" i="35" s="1"/>
  <c r="C5" i="63"/>
  <c r="C7" i="63"/>
  <c r="F31" i="60" l="1"/>
  <c r="F14" i="28" s="1"/>
  <c r="F59" i="28" s="1"/>
  <c r="F15" i="28" s="1"/>
  <c r="E31" i="60"/>
  <c r="G15" i="60"/>
  <c r="D7" i="63"/>
  <c r="F26" i="35"/>
  <c r="H10" i="28" s="1"/>
  <c r="G13" i="35"/>
  <c r="G18" i="35"/>
  <c r="G17" i="35" s="1"/>
  <c r="F20" i="35"/>
  <c r="F27" i="35" s="1"/>
  <c r="H12" i="28" s="1"/>
  <c r="D5" i="63"/>
  <c r="F25" i="28" l="1"/>
  <c r="F13" i="28" s="1"/>
  <c r="F11" i="28" s="1"/>
  <c r="C9" i="63"/>
  <c r="H15" i="60"/>
  <c r="G31" i="60"/>
  <c r="G14" i="28" s="1"/>
  <c r="E5" i="63"/>
  <c r="E7" i="63"/>
  <c r="H18" i="35"/>
  <c r="H17" i="35" s="1"/>
  <c r="G26" i="35"/>
  <c r="I10" i="28" s="1"/>
  <c r="H13" i="35"/>
  <c r="G20" i="35"/>
  <c r="G27" i="35" s="1"/>
  <c r="I12" i="28" s="1"/>
  <c r="D9" i="63" l="1"/>
  <c r="G59" i="28"/>
  <c r="H31" i="60"/>
  <c r="H14" i="28" s="1"/>
  <c r="I15" i="60"/>
  <c r="I31" i="60" s="1"/>
  <c r="I14" i="28" s="1"/>
  <c r="F9" i="63" s="1"/>
  <c r="C10" i="63"/>
  <c r="F7" i="63"/>
  <c r="H20" i="35"/>
  <c r="H27" i="35" s="1"/>
  <c r="H26" i="35"/>
  <c r="F5" i="63"/>
  <c r="C18" i="63" l="1"/>
  <c r="E9" i="63"/>
  <c r="H59" i="28"/>
  <c r="I59" i="28"/>
  <c r="I15" i="28" s="1"/>
  <c r="G25" i="28"/>
  <c r="G15" i="28"/>
  <c r="D10" i="63" s="1"/>
  <c r="F17" i="28"/>
  <c r="F23" i="28" s="1"/>
  <c r="F6" i="28" s="1"/>
  <c r="C12" i="63" l="1"/>
  <c r="F27" i="28"/>
  <c r="I25" i="28"/>
  <c r="I17" i="28" s="1"/>
  <c r="F12" i="63" s="1"/>
  <c r="G17" i="28"/>
  <c r="D12" i="63" s="1"/>
  <c r="D18" i="63"/>
  <c r="G13" i="28"/>
  <c r="H25" i="28"/>
  <c r="H15" i="28"/>
  <c r="E10" i="63" s="1"/>
  <c r="C8" i="63"/>
  <c r="F10" i="63"/>
  <c r="I13" i="28" l="1"/>
  <c r="F8" i="63" s="1"/>
  <c r="F18" i="63"/>
  <c r="D8" i="63"/>
  <c r="G11" i="28"/>
  <c r="C6" i="63"/>
  <c r="H17" i="28"/>
  <c r="E12" i="63" s="1"/>
  <c r="E18" i="63"/>
  <c r="H13" i="28"/>
  <c r="I11" i="28" l="1"/>
  <c r="I23" i="28" s="1"/>
  <c r="I6" i="28" s="1"/>
  <c r="H11" i="28"/>
  <c r="E8" i="63"/>
  <c r="C17" i="63"/>
  <c r="F63" i="28"/>
  <c r="D6" i="63"/>
  <c r="G23" i="28"/>
  <c r="G6" i="28" s="1"/>
  <c r="F6" i="63" l="1"/>
  <c r="F64" i="28"/>
  <c r="F65" i="28"/>
  <c r="F62" i="28"/>
  <c r="C19" i="63"/>
  <c r="G63" i="28"/>
  <c r="G27" i="28"/>
  <c r="D17" i="63"/>
  <c r="E6" i="63"/>
  <c r="H23" i="28"/>
  <c r="H6" i="28" s="1"/>
  <c r="I27" i="28"/>
  <c r="F17" i="63"/>
  <c r="I63" i="28"/>
  <c r="D19" i="63" l="1"/>
  <c r="G65" i="28"/>
  <c r="G64" i="28"/>
  <c r="G62" i="28"/>
  <c r="H27" i="28"/>
  <c r="F38" i="28" s="1"/>
  <c r="F57" i="28" s="1"/>
  <c r="E17" i="63"/>
  <c r="H63" i="28"/>
  <c r="F19" i="63"/>
  <c r="I64" i="28"/>
  <c r="I65" i="28"/>
  <c r="I62" i="28"/>
  <c r="F56" i="28" l="1"/>
  <c r="C31" i="63" s="1"/>
  <c r="F40" i="28"/>
  <c r="C25" i="63" s="1"/>
  <c r="I40" i="28"/>
  <c r="F25" i="63" s="1"/>
  <c r="C24" i="63"/>
  <c r="H40" i="28"/>
  <c r="E25" i="63" s="1"/>
  <c r="G40" i="28"/>
  <c r="D25" i="63" s="1"/>
  <c r="H64" i="28"/>
  <c r="H65" i="28"/>
  <c r="E19" i="63"/>
  <c r="H62" i="28"/>
  <c r="F42" i="28" l="1"/>
  <c r="C26" i="63" s="1"/>
  <c r="J50" i="23"/>
  <c r="J10" i="23" l="1"/>
</calcChain>
</file>

<file path=xl/sharedStrings.xml><?xml version="1.0" encoding="utf-8"?>
<sst xmlns="http://schemas.openxmlformats.org/spreadsheetml/2006/main" count="6044" uniqueCount="645">
  <si>
    <t>-</t>
  </si>
  <si>
    <t>Pessoal</t>
  </si>
  <si>
    <t>Despesas gerais</t>
  </si>
  <si>
    <t>Juros</t>
  </si>
  <si>
    <t>Total</t>
  </si>
  <si>
    <t>AGEPAN</t>
  </si>
  <si>
    <t>QRR (% a.a.)</t>
  </si>
  <si>
    <t>Vida Útil Média (anos)</t>
  </si>
  <si>
    <t>Não onerosos</t>
  </si>
  <si>
    <t>PNUD - SANESUL</t>
  </si>
  <si>
    <t>REVISÃO TARIFÁRIA ORDINÁRIA</t>
  </si>
  <si>
    <t>SANESUL</t>
  </si>
  <si>
    <t>CUSTOS E DESPESAS OPERACIONAIS REALIZADOS</t>
  </si>
  <si>
    <t>NÍVEL DE DETALHAMENTO: CONSOLIDADO SANESUL</t>
  </si>
  <si>
    <t>Valores a Preços Correntes</t>
  </si>
  <si>
    <t>Discriminação</t>
  </si>
  <si>
    <t>Ano →</t>
  </si>
  <si>
    <t>R$</t>
  </si>
  <si>
    <t>1.1-</t>
  </si>
  <si>
    <t>1.1.1- Remuneração</t>
  </si>
  <si>
    <t>1.1.2- Encargos</t>
  </si>
  <si>
    <t>1.1.3- Benefícios</t>
  </si>
  <si>
    <t>1.1.4- Provisões e Outras</t>
  </si>
  <si>
    <t>1.2-</t>
  </si>
  <si>
    <t>1.3-</t>
  </si>
  <si>
    <t>Materiais de tratamento</t>
  </si>
  <si>
    <t>1.4-</t>
  </si>
  <si>
    <t>1.5-</t>
  </si>
  <si>
    <t xml:space="preserve">Energia elétrica </t>
  </si>
  <si>
    <t>1.6-</t>
  </si>
  <si>
    <t>1.6.2 -Despesas de Arrecadação</t>
  </si>
  <si>
    <t>1.7-</t>
  </si>
  <si>
    <t>Depreciação e amortização</t>
  </si>
  <si>
    <r>
      <rPr>
        <b/>
        <sz val="11"/>
        <rFont val="Calibri"/>
        <family val="2"/>
        <scheme val="minor"/>
      </rPr>
      <t xml:space="preserve">* Observação: </t>
    </r>
    <r>
      <rPr>
        <sz val="11"/>
        <rFont val="Calibri"/>
        <family val="2"/>
        <scheme val="minor"/>
      </rPr>
      <t>O total dos custos e despesas aqui descritos devem se igualar aos registrados na contabilidade. Caso necessário, podem ser feitos ajustes na planilha para incluir descrições de tipos de custos e despesas registrados na contabilidade que não estão previstos nesse modelo para que a igualdade seja verificada.</t>
    </r>
  </si>
  <si>
    <t>IPCA - IBGE</t>
  </si>
  <si>
    <t>Mês</t>
  </si>
  <si>
    <t>Índice</t>
  </si>
  <si>
    <t>Variação (%)</t>
  </si>
  <si>
    <t>No mês</t>
  </si>
  <si>
    <t>No ano</t>
  </si>
  <si>
    <t>12 meses</t>
  </si>
  <si>
    <t>Data Base:</t>
  </si>
  <si>
    <t>Meta</t>
  </si>
  <si>
    <t>Extensão de Rede</t>
  </si>
  <si>
    <t>Multas</t>
  </si>
  <si>
    <t>...</t>
  </si>
  <si>
    <t>NCG</t>
  </si>
  <si>
    <t>Ligações de água</t>
  </si>
  <si>
    <r>
      <t xml:space="preserve">Fonte: </t>
    </r>
    <r>
      <rPr>
        <sz val="9"/>
        <color theme="1"/>
        <rFont val="Calibri"/>
        <family val="2"/>
        <scheme val="minor"/>
      </rPr>
      <t>IBGE.</t>
    </r>
  </si>
  <si>
    <t>UNID</t>
  </si>
  <si>
    <t>Custos Operacionais</t>
  </si>
  <si>
    <t>Perdas</t>
  </si>
  <si>
    <t>PERDAS</t>
  </si>
  <si>
    <t>l/lig/dia</t>
  </si>
  <si>
    <t>Planilha</t>
  </si>
  <si>
    <t>"QUADRO DE ECONOMIAS , LIGAÇÕES E VOLUMES"</t>
  </si>
  <si>
    <t>DADOS DE DEMANDA E OFERTA REALIZADOS  - ECONOMIAS - LIGAÇÕES - VOLUMES POR CATEGORIA</t>
  </si>
  <si>
    <t>DISCRIMINAÇÃO</t>
  </si>
  <si>
    <t>Número de Economias Ativas Água</t>
  </si>
  <si>
    <t>unid.</t>
  </si>
  <si>
    <t>Residencial Social</t>
  </si>
  <si>
    <t>Residencial</t>
  </si>
  <si>
    <t>Comercial</t>
  </si>
  <si>
    <t>Industrial</t>
  </si>
  <si>
    <t>Poder Público</t>
  </si>
  <si>
    <t>Número de Economias Ativas Esgotos</t>
  </si>
  <si>
    <t>Número de Economias Totais Água</t>
  </si>
  <si>
    <t>Número de Economias Totais Esgotos</t>
  </si>
  <si>
    <t>Número de Ligações Ativas Água</t>
  </si>
  <si>
    <t>Número de Ligações Ativas Esgotos</t>
  </si>
  <si>
    <t>Número de Ligações Totais Água</t>
  </si>
  <si>
    <t>Número de Ligações Totais Esgotos</t>
  </si>
  <si>
    <t>Volume medido de Água</t>
  </si>
  <si>
    <t>m³</t>
  </si>
  <si>
    <t>Volume medido de água das ligações com esgotos</t>
  </si>
  <si>
    <t>Volume Faturado de Água</t>
  </si>
  <si>
    <t>* Adicionar outro tipo, se necessário</t>
  </si>
  <si>
    <t>"Coleta de Dados_Adicionais_2015 a 2020 AGEPAN"</t>
  </si>
  <si>
    <t>REVISÃO TARIFÁRIA ORDINÁRIA - SANESUL</t>
  </si>
  <si>
    <t>DADOS DE ENERGIA ELÉTRICA</t>
  </si>
  <si>
    <t>NÍVEL DE DETALHAMENTO: POR MACRORREGIÃO E CONSOLIDADO SANESUL</t>
  </si>
  <si>
    <t>1- SISTEMA DE ÁGUA</t>
  </si>
  <si>
    <t>1.1</t>
  </si>
  <si>
    <t>Regional Aquidauana</t>
  </si>
  <si>
    <t>MWh</t>
  </si>
  <si>
    <t>1.2</t>
  </si>
  <si>
    <t>Regional Corumbá</t>
  </si>
  <si>
    <t>1.3</t>
  </si>
  <si>
    <t>Regional Coxim</t>
  </si>
  <si>
    <t>1.4</t>
  </si>
  <si>
    <t>Regional Dourados</t>
  </si>
  <si>
    <t>1.5</t>
  </si>
  <si>
    <t>Regional Jardim</t>
  </si>
  <si>
    <t>1.6</t>
  </si>
  <si>
    <t>Regional Naviraí</t>
  </si>
  <si>
    <t>1.7</t>
  </si>
  <si>
    <t>Regional Nova Andradina</t>
  </si>
  <si>
    <t>1.8</t>
  </si>
  <si>
    <t>Regional Paranaíba</t>
  </si>
  <si>
    <t>1.9</t>
  </si>
  <si>
    <t>Regional Ponta Porã</t>
  </si>
  <si>
    <t>1.10</t>
  </si>
  <si>
    <t xml:space="preserve">Regional Três Lagoas </t>
  </si>
  <si>
    <t>1.11</t>
  </si>
  <si>
    <t>Total Sistema de Água</t>
  </si>
  <si>
    <t>2- SISTEMA DE ESGOTO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</si>
  <si>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</si>
  <si>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</si>
  <si>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</si>
  <si>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</si>
  <si>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</si>
  <si>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</si>
  <si>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</si>
  <si>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</si>
  <si>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</si>
  <si>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</si>
  <si>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</si>
  <si>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Total Sistema de Esgoto</t>
  </si>
  <si>
    <t>3- TOTAL SANESUL</t>
  </si>
  <si>
    <t>Total Sanesul</t>
  </si>
  <si>
    <t>DADOS DE MATERIAL DE TRATAMENTO</t>
  </si>
  <si>
    <t>ton</t>
  </si>
  <si>
    <t>Consumo EE Água (kWh)</t>
  </si>
  <si>
    <t>%</t>
  </si>
  <si>
    <t>Diversos (Aquisição de Edital)</t>
  </si>
  <si>
    <t>Recuperação de Crédito</t>
  </si>
  <si>
    <t>Ganhos Processos Judiciais</t>
  </si>
  <si>
    <t>Indenizações e Ressarcimentos Despesas</t>
  </si>
  <si>
    <t>Outras Receitas Serviços Técnicos</t>
  </si>
  <si>
    <t>Subvenções p/ Investimento</t>
  </si>
  <si>
    <t>Vendas de Bens do Ativo Imobilizado</t>
  </si>
  <si>
    <t>Contribuições e Doações</t>
  </si>
  <si>
    <t>OUTRAS RECEITAS</t>
  </si>
  <si>
    <t>Outras</t>
  </si>
  <si>
    <t xml:space="preserve">Religação </t>
  </si>
  <si>
    <t>RECEITAS INDIRETAS</t>
  </si>
  <si>
    <t>Repasse (R$)</t>
  </si>
  <si>
    <t>Reversão (%)</t>
  </si>
  <si>
    <t>Média (48 meses)</t>
  </si>
  <si>
    <t>Descrição</t>
  </si>
  <si>
    <t>REPASSE À MODICIDADE TARIFÁRIA</t>
  </si>
  <si>
    <t>RECEITAS BRUTAS VERIFICADAS (R$ jul/21)</t>
  </si>
  <si>
    <t>Aging</t>
  </si>
  <si>
    <t>Não Recebido até 01/dez/17</t>
  </si>
  <si>
    <t>Faturamento TOTAL</t>
  </si>
  <si>
    <t>Mês de vencimento da fatura</t>
  </si>
  <si>
    <t>Curva de Envelhecimento</t>
  </si>
  <si>
    <t>Não Recebido até 01/dez/18</t>
  </si>
  <si>
    <t>Não Recebido até 01/dez/19</t>
  </si>
  <si>
    <t>Não Recebido até 01/dez/20</t>
  </si>
  <si>
    <t>TOTAL</t>
  </si>
  <si>
    <t>ANO</t>
  </si>
  <si>
    <t>Ponto de Partida</t>
  </si>
  <si>
    <t>PROJEÇÃO DAS RECEITAS IRRECUPERÁVEIS</t>
  </si>
  <si>
    <t xml:space="preserve">Receita de Novas Ligações </t>
  </si>
  <si>
    <r>
      <t xml:space="preserve">Taxa de Ligação de Água </t>
    </r>
    <r>
      <rPr>
        <vertAlign val="superscript"/>
        <sz val="10"/>
        <color theme="1"/>
        <rFont val="Calibri"/>
        <family val="2"/>
        <scheme val="minor"/>
      </rPr>
      <t>(2)</t>
    </r>
  </si>
  <si>
    <t>Novas Ligações de Água</t>
  </si>
  <si>
    <r>
      <t xml:space="preserve">Ligações TOTAIS de Água </t>
    </r>
    <r>
      <rPr>
        <vertAlign val="superscript"/>
        <sz val="10"/>
        <color theme="1"/>
        <rFont val="Calibri"/>
        <family val="2"/>
        <scheme val="minor"/>
      </rPr>
      <t>(2)</t>
    </r>
  </si>
  <si>
    <r>
      <t xml:space="preserve">Novas Ligações </t>
    </r>
    <r>
      <rPr>
        <vertAlign val="superscript"/>
        <sz val="10"/>
        <color theme="1"/>
        <rFont val="Calibri"/>
        <family val="2"/>
        <scheme val="minor"/>
      </rPr>
      <t>(1)</t>
    </r>
  </si>
  <si>
    <t>RECEITAS BRUTAS VERIFICADAS (R$ correntes)</t>
  </si>
  <si>
    <t>Ciclo Tarifário (R$)</t>
  </si>
  <si>
    <t>BARL</t>
  </si>
  <si>
    <t>BAR Bruta Imobilizada</t>
  </si>
  <si>
    <t>Depreciação Acumulada</t>
  </si>
  <si>
    <t>BAR Líquida Imobilizada</t>
  </si>
  <si>
    <t>Projeções (R$)</t>
  </si>
  <si>
    <t>Necessidade de Capital de Giro (%)</t>
  </si>
  <si>
    <t>PROPOSTA</t>
  </si>
  <si>
    <t>Real (jul/2021)</t>
  </si>
  <si>
    <t>Real (Data Base)</t>
  </si>
  <si>
    <t>(+) Receitas Irrecuperáveis (RI)</t>
  </si>
  <si>
    <t>(+) Custos Operacionais → OPEX</t>
  </si>
  <si>
    <t>Ligações ativas de água</t>
  </si>
  <si>
    <t>Volume para usos especiais</t>
  </si>
  <si>
    <t>Volume produzido de água</t>
  </si>
  <si>
    <t>VOLUME ENTRADA</t>
  </si>
  <si>
    <t>VOLUME DE PERDAS DE ÁGUA</t>
  </si>
  <si>
    <t>LIGAÇÕES ATIVAS DE ÁGUA</t>
  </si>
  <si>
    <t>MENOR</t>
  </si>
  <si>
    <t>Fonte: SNIS (IN051).</t>
  </si>
  <si>
    <t>Investimentos</t>
  </si>
  <si>
    <t>PREVISÃO ANUAL - INVESTIMENTOS (ORÇAMENTO)</t>
  </si>
  <si>
    <t>Água</t>
  </si>
  <si>
    <t>Captação</t>
  </si>
  <si>
    <t>Adução</t>
  </si>
  <si>
    <t>Tratamento</t>
  </si>
  <si>
    <t>Reservação</t>
  </si>
  <si>
    <t>Distribuição</t>
  </si>
  <si>
    <t>Hidrometração</t>
  </si>
  <si>
    <t>Programa de controle e redução de perdas</t>
  </si>
  <si>
    <t>Outros em água</t>
  </si>
  <si>
    <t>Esgoto</t>
  </si>
  <si>
    <t>O</t>
  </si>
  <si>
    <t>Coleta</t>
  </si>
  <si>
    <t>Lodo e disposição final</t>
  </si>
  <si>
    <t>Emissários</t>
  </si>
  <si>
    <t>Outros em esgoto</t>
  </si>
  <si>
    <t>Outros</t>
  </si>
  <si>
    <t>Bens de uso geral</t>
  </si>
  <si>
    <t>Veículos, equipamentos e bens de uso operacional</t>
  </si>
  <si>
    <t>Bens de uso administrativo</t>
  </si>
  <si>
    <t>Total Geral</t>
  </si>
  <si>
    <t>Sistemas de informação</t>
  </si>
  <si>
    <t>Obs: valores em moeda constante. Favor especificar data.</t>
  </si>
  <si>
    <t>Obs 1: A data é de 2021.</t>
  </si>
  <si>
    <t>Obs 2:  O Plano de Negócio da Sanesul foi projetado para o periodo de 2021 a 2025. Portanto não temos as projeções para o ano de 2026.</t>
  </si>
  <si>
    <t>Obs 3: A Sanesul em seu plano de negócios não tem a segregação de investimentos por Captação, adução, tratamento,reservação,distribuição, hidrometração, programa de controle e redução de perdas e outros em água e esgoto.</t>
  </si>
  <si>
    <t>Depreciação Anual</t>
  </si>
  <si>
    <t>Baixas</t>
  </si>
  <si>
    <t>Cálculo Circular</t>
  </si>
  <si>
    <t>(+) Remuneração da BRRL</t>
  </si>
  <si>
    <t>Volume Faturado (A+E) (m³)</t>
  </si>
  <si>
    <t>= Receita Requerida (RR)</t>
  </si>
  <si>
    <t>= Receita Tarifária (RT)</t>
  </si>
  <si>
    <t>Consumo MT Água (ton)</t>
  </si>
  <si>
    <r>
      <t>Volume Medido Água (m</t>
    </r>
    <r>
      <rPr>
        <b/>
        <vertAlign val="superscript"/>
        <sz val="10"/>
        <color theme="1"/>
        <rFont val="Calibri"/>
        <family val="2"/>
        <scheme val="minor"/>
      </rPr>
      <t>3</t>
    </r>
    <r>
      <rPr>
        <b/>
        <sz val="10"/>
        <color theme="1"/>
        <rFont val="Calibri"/>
        <family val="2"/>
        <scheme val="minor"/>
      </rPr>
      <t>)</t>
    </r>
  </si>
  <si>
    <t>(+) Cobertura Tarifária da TRS</t>
  </si>
  <si>
    <t>Validação</t>
  </si>
  <si>
    <t>Tarifa Média Eficiente de Água e Esgoto (R$/m³) - P0</t>
  </si>
  <si>
    <t>Receita Tarifária Média Eficiente</t>
  </si>
  <si>
    <t>(+) Contraprestações da PPP</t>
  </si>
  <si>
    <t>Contraprestação da PPP - 1ª Revisão Tarifária Ordinária da Sanesul</t>
  </si>
  <si>
    <t>Ano</t>
  </si>
  <si>
    <t>Projeção da Receita de Contraprestação (Data base)</t>
  </si>
  <si>
    <t>Receitas Operacionais Líquidas</t>
  </si>
  <si>
    <t>Receitas Operacionais Brutas</t>
  </si>
  <si>
    <t>Pis/Pasep e Cofins</t>
  </si>
  <si>
    <t>Fonte: Demonstrações Contábeis da SANESUL.</t>
  </si>
  <si>
    <t>DEDUÇÕES PIS/PASEP E COFINS</t>
  </si>
  <si>
    <t>FATURAMENTO REALIZADO</t>
  </si>
  <si>
    <t>1 - RECEITA FATURADA DE ÁGUA TOTAL</t>
  </si>
  <si>
    <t>2 - RECEITA FATURADA DE ESGOTO TOTAL</t>
  </si>
  <si>
    <t>3 - OUTRAS RECEITAS FATURADAS</t>
  </si>
  <si>
    <t>Três Lagoas</t>
  </si>
  <si>
    <r>
      <t>m</t>
    </r>
    <r>
      <rPr>
        <vertAlign val="superscript"/>
        <sz val="10"/>
        <color theme="1"/>
        <rFont val="Calibri"/>
        <family val="2"/>
        <scheme val="minor"/>
      </rPr>
      <t>3</t>
    </r>
  </si>
  <si>
    <t>(-) Outras Receitas (OR)</t>
  </si>
  <si>
    <t>Consumo Específico EE Água (kWh/m³)</t>
  </si>
  <si>
    <t>Índice de perdas por ligação</t>
  </si>
  <si>
    <t>Consumo Específico MT Água (ton/m³)</t>
  </si>
  <si>
    <t>Preço Unitário EE Água (R$/kWh)</t>
  </si>
  <si>
    <t>Preço Unitário MT Água (R$/ton)</t>
  </si>
  <si>
    <t>MÉDIA</t>
  </si>
  <si>
    <r>
      <t xml:space="preserve">Aging </t>
    </r>
    <r>
      <rPr>
        <sz val="10"/>
        <color theme="1"/>
        <rFont val="Calibri"/>
        <family val="2"/>
        <scheme val="minor"/>
      </rPr>
      <t>(% do Faturamento)</t>
    </r>
  </si>
  <si>
    <t>(+) Recursos para reintegração de bens não onerosos</t>
  </si>
  <si>
    <t>Bens financiados com a TAI</t>
  </si>
  <si>
    <t>Não onerosos no Banco Patrimonial</t>
  </si>
  <si>
    <t>Percentual de Urbanização</t>
  </si>
  <si>
    <t>REALIZADOS¹</t>
  </si>
  <si>
    <t>PROJETADOS</t>
  </si>
  <si>
    <t>Número de Economias</t>
  </si>
  <si>
    <t>Consumo unitário de água</t>
  </si>
  <si>
    <t>m³/mês/economia</t>
  </si>
  <si>
    <t>Volume de água consumido</t>
  </si>
  <si>
    <t>Número de Ligações</t>
  </si>
  <si>
    <t xml:space="preserve">Cobertura Tarifária da TRS   = </t>
  </si>
  <si>
    <t>NCG/RT</t>
  </si>
  <si>
    <t>TRS/RR</t>
  </si>
  <si>
    <t>RI/RT</t>
  </si>
  <si>
    <t>OR/RT</t>
  </si>
  <si>
    <t>TAI</t>
  </si>
  <si>
    <t>ÁGUA CLARA</t>
  </si>
  <si>
    <t>ALCINÓPOLIS</t>
  </si>
  <si>
    <t>AMAMBAI</t>
  </si>
  <si>
    <t>ANASTÁCIO</t>
  </si>
  <si>
    <t>ANAURILÂNDIA</t>
  </si>
  <si>
    <t>ANGÉLICA</t>
  </si>
  <si>
    <t>ANTÔNIO JOÃO</t>
  </si>
  <si>
    <t>NA</t>
  </si>
  <si>
    <t>APARECIDA DO TABOADO</t>
  </si>
  <si>
    <t>AQUIDAUANA</t>
  </si>
  <si>
    <t>ARAL MOREIRA</t>
  </si>
  <si>
    <t>BATAGUASSU</t>
  </si>
  <si>
    <t>BATAIPORÃ</t>
  </si>
  <si>
    <t>BODOQUENA</t>
  </si>
  <si>
    <t>BONITO</t>
  </si>
  <si>
    <t>BRASILANDIA</t>
  </si>
  <si>
    <t>CAARAPÓ</t>
  </si>
  <si>
    <t>CAMAPUÃ</t>
  </si>
  <si>
    <t>CARACOL</t>
  </si>
  <si>
    <t>CHAPADÃO DO SUL</t>
  </si>
  <si>
    <t>CORONEL SAPUCAIA</t>
  </si>
  <si>
    <t>CORUMBÁ</t>
  </si>
  <si>
    <t>COXIM</t>
  </si>
  <si>
    <t>DEODÁPOLIS</t>
  </si>
  <si>
    <t>DOIS IRMÃOS DO BURITI</t>
  </si>
  <si>
    <t>DOURADINA</t>
  </si>
  <si>
    <t>DOURADOS</t>
  </si>
  <si>
    <t>ELDORADO</t>
  </si>
  <si>
    <t>FÁTIMA DO SUL</t>
  </si>
  <si>
    <t>FIGUEIRÃO</t>
  </si>
  <si>
    <t>GUIA LOPES</t>
  </si>
  <si>
    <t>IGUATEMI</t>
  </si>
  <si>
    <t>INOCÊNCIA</t>
  </si>
  <si>
    <t>ITAPORÃ</t>
  </si>
  <si>
    <t>ITAQUIRAI</t>
  </si>
  <si>
    <t>IVINHEMA</t>
  </si>
  <si>
    <t>JAPORÃ</t>
  </si>
  <si>
    <t>JARDIM</t>
  </si>
  <si>
    <t>JATEÍ</t>
  </si>
  <si>
    <t>JUTI</t>
  </si>
  <si>
    <t>LADÁRIO</t>
  </si>
  <si>
    <t>LAGUNA CAARAPÃ</t>
  </si>
  <si>
    <t>MARACAJU</t>
  </si>
  <si>
    <t>MIRANDA</t>
  </si>
  <si>
    <t>MUNDO NOVO</t>
  </si>
  <si>
    <t>NAVIRAÍ</t>
  </si>
  <si>
    <t>NIOAQUE</t>
  </si>
  <si>
    <t>NOVA ALVORADA DO SUL</t>
  </si>
  <si>
    <t>NOVA ANDRADINA</t>
  </si>
  <si>
    <t>NOVO HORIZONTE DO SUL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</si>
  <si>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</si>
  <si>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</si>
  <si>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</si>
  <si>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</si>
  <si>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</si>
  <si>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</si>
  <si>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</si>
  <si>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NEGRO</t>
  </si>
  <si>
    <t>RIO VERDE DO MT</t>
  </si>
  <si>
    <t>SANTA RITA DO PARDO</t>
  </si>
  <si>
    <t>SELVIRIA</t>
  </si>
  <si>
    <t>SETE QUEDAS</t>
  </si>
  <si>
    <t>SIDROLÂNDIA</t>
  </si>
  <si>
    <t>SONORA</t>
  </si>
  <si>
    <t>TACURU</t>
  </si>
  <si>
    <t>TAQUARUSSU</t>
  </si>
  <si>
    <t>TERENOS</t>
  </si>
  <si>
    <t>TRÊS LAGOAS</t>
  </si>
  <si>
    <t>VICENTINA</t>
  </si>
  <si>
    <t>COMPETÊNCIA</t>
  </si>
  <si>
    <t xml:space="preserve">RECEITA LÍQUIDA (R$) </t>
  </si>
  <si>
    <t>TARIFA ADICIONAL  PARA INVESTIMENTOS (R$)</t>
  </si>
  <si>
    <t>INVESTIMENTOS REALIZADOS (R$)</t>
  </si>
  <si>
    <t>SAA</t>
  </si>
  <si>
    <t>SES</t>
  </si>
  <si>
    <t>OUTROS</t>
  </si>
  <si>
    <t>TOTAL GERAL</t>
  </si>
  <si>
    <t>MUNICÍPIO</t>
  </si>
  <si>
    <t>REAJUSTE</t>
  </si>
  <si>
    <t>Data:</t>
  </si>
  <si>
    <t>CONSUMO AUTORIZADO FATURADO</t>
  </si>
  <si>
    <t>CONSUMO AUTORIZADO NÃO FATURADO</t>
  </si>
  <si>
    <t>Receita Direta Líquida</t>
  </si>
  <si>
    <t>Receita Líquida</t>
  </si>
  <si>
    <t>Saldo</t>
  </si>
  <si>
    <t>Aliquota Efetiva</t>
  </si>
  <si>
    <t>ADICIONAL DA TAI</t>
  </si>
  <si>
    <t>ÁGUA</t>
  </si>
  <si>
    <t>ESGOTOS</t>
  </si>
  <si>
    <t xml:space="preserve">TOTAL </t>
  </si>
  <si>
    <t>RECURSOS PRÓPRIOS</t>
  </si>
  <si>
    <t>RECURSOS ONEROSOS</t>
  </si>
  <si>
    <t>Fonte: SNIS</t>
  </si>
  <si>
    <t>RECURSOS NÃO ONEROSOS</t>
  </si>
  <si>
    <t>Info.</t>
  </si>
  <si>
    <t>Bens Financiados com a TAI (jul/2021)</t>
  </si>
  <si>
    <t>Volume de água e esgoto faturado - Total</t>
  </si>
  <si>
    <t>BRR</t>
  </si>
  <si>
    <t>RESIDENCIAL</t>
  </si>
  <si>
    <t>Economias por ligação</t>
  </si>
  <si>
    <t>econ./lig.</t>
  </si>
  <si>
    <t>NÃO RESIDENCIAL</t>
  </si>
  <si>
    <t>Economias Totais</t>
  </si>
  <si>
    <t>Volume de água consumido Total</t>
  </si>
  <si>
    <t>Número de Ligações Totais</t>
  </si>
  <si>
    <t>Residencial/Não Residencial</t>
  </si>
  <si>
    <t>Economias</t>
  </si>
  <si>
    <t>econ.Res/econ.N Res</t>
  </si>
  <si>
    <t>Ligações</t>
  </si>
  <si>
    <t>lig.Res/lig.N Res</t>
  </si>
  <si>
    <t>Reintegração de bens não onerosos</t>
  </si>
  <si>
    <t>Projeções SIGLASUL</t>
  </si>
  <si>
    <t>Projeções SANESUL</t>
  </si>
  <si>
    <t>Sim</t>
  </si>
  <si>
    <t>Não</t>
  </si>
  <si>
    <t>TAI Corrigida</t>
  </si>
  <si>
    <t>Tarifa Adicional para Investimentos</t>
  </si>
  <si>
    <t>Informada SANESUL</t>
  </si>
  <si>
    <t>Estimada SIGLASUL</t>
  </si>
  <si>
    <t>SNIS</t>
  </si>
  <si>
    <t>Fonte: Disponibilizadas pela SANESUL através do Arquivo "Modelagem Econômico-Fiannceira -Planilha".</t>
  </si>
  <si>
    <t>Volume faturado (A+E)</t>
  </si>
  <si>
    <t>Fonte: Dados informados pela SANESUL. através do Banco Patrimonial.</t>
  </si>
  <si>
    <t xml:space="preserve">Percentual Adicional da TAI = </t>
  </si>
  <si>
    <t>REALIZADOS</t>
  </si>
  <si>
    <t>Fonte:  (2)  Valor informado pela SANESUL.</t>
  </si>
  <si>
    <r>
      <t>BAR Bruta Imobilizada</t>
    </r>
    <r>
      <rPr>
        <b/>
        <vertAlign val="superscript"/>
        <sz val="10"/>
        <color theme="1"/>
        <rFont val="Calibri"/>
        <family val="2"/>
        <scheme val="minor"/>
      </rPr>
      <t>1</t>
    </r>
  </si>
  <si>
    <r>
      <t>Baixas</t>
    </r>
    <r>
      <rPr>
        <vertAlign val="superscript"/>
        <sz val="10"/>
        <color theme="1"/>
        <rFont val="Calibri"/>
        <family val="2"/>
        <scheme val="minor"/>
      </rPr>
      <t>1</t>
    </r>
  </si>
  <si>
    <r>
      <t>Terrenos Onerosos</t>
    </r>
    <r>
      <rPr>
        <b/>
        <vertAlign val="superscript"/>
        <sz val="10"/>
        <color theme="1"/>
        <rFont val="Calibri"/>
        <family val="2"/>
        <scheme val="minor"/>
      </rPr>
      <t>1</t>
    </r>
  </si>
  <si>
    <t>Fonte: Diponibilizado pela SANESUL no arquivo "Quadro II - Coleta de Dados - Custos e Despesas 2015 a 2020".</t>
  </si>
  <si>
    <t>Driver de Projeção</t>
  </si>
  <si>
    <t>Fixo</t>
  </si>
  <si>
    <t>SISTEMAS DE ÁGUA - PESSOAL</t>
  </si>
  <si>
    <t>SISTEMAS DE ÁGUA - DESPESAS GERAIS</t>
  </si>
  <si>
    <t>SISTEMAS DE ÁGUA - MATERIAIS DE TRATAMENTO</t>
  </si>
  <si>
    <t>SISTEMAS DE ÁGUA - ENERGIA ELÉTRICA</t>
  </si>
  <si>
    <t>SISTEMAS DE ÁGUA - MATERIAIS GERAIS</t>
  </si>
  <si>
    <t>SISTEMAS DE ÁGUA - SERVIÇO DE TERCEIROS</t>
  </si>
  <si>
    <t>DESPESAS ADMINISTRATIVAS - PESSOAL</t>
  </si>
  <si>
    <t>DESPESAS ADMINISTRATIVAS - MATERIAIS GERAIS</t>
  </si>
  <si>
    <t>DESPESAS ADMINISTRATIVAS - SERVIÇO DE TERCEIROS</t>
  </si>
  <si>
    <t>DESPESAS ADMINISTRATIVAS - ENERGIA ELÉTRICA</t>
  </si>
  <si>
    <t>DESPESAS ADMINISTRATIVAS - DESPESAS GERAIS</t>
  </si>
  <si>
    <t>SISTEMAS DE ÁGUA EE* (R$)</t>
  </si>
  <si>
    <t>SISTEMAS DE ÁGUA MT* (R$)</t>
  </si>
  <si>
    <t>Volume medido de água</t>
  </si>
  <si>
    <t>Volume de perdas</t>
  </si>
  <si>
    <t>Índice de perdas</t>
  </si>
  <si>
    <t>Volume medido e ligações ativas de água</t>
  </si>
  <si>
    <t>Volume produzido e ligações ativas de água</t>
  </si>
  <si>
    <t>Volume medido e produzido de água</t>
  </si>
  <si>
    <t>TAI Acumulada</t>
  </si>
  <si>
    <t>Aumento de Pessoal (0,5%)</t>
  </si>
  <si>
    <t>RECURSOS PRÓPRIOS + ONEROSOS</t>
  </si>
  <si>
    <t>TAI Corrigida Acumulada</t>
  </si>
  <si>
    <t>Data Inicial</t>
  </si>
  <si>
    <t>Volume Médio Faturado por Economia</t>
  </si>
  <si>
    <t>Progressão mensal das economias de esgoto faturadas</t>
  </si>
  <si>
    <t>Data-base</t>
  </si>
  <si>
    <t>Projeções do mercado de água</t>
  </si>
  <si>
    <t>Variação percentual a.a</t>
  </si>
  <si>
    <r>
      <t>Projeções (R$)</t>
    </r>
    <r>
      <rPr>
        <b/>
        <vertAlign val="superscript"/>
        <sz val="10"/>
        <color theme="0"/>
        <rFont val="Calibri"/>
        <family val="2"/>
        <scheme val="minor"/>
      </rPr>
      <t>2</t>
    </r>
  </si>
  <si>
    <r>
      <t>Real (jul/2021)</t>
    </r>
    <r>
      <rPr>
        <b/>
        <vertAlign val="superscript"/>
        <sz val="10"/>
        <color theme="0"/>
        <rFont val="Calibri"/>
        <family val="2"/>
        <scheme val="minor"/>
      </rPr>
      <t>1</t>
    </r>
  </si>
  <si>
    <t>Valores Nominais</t>
  </si>
  <si>
    <t>Investimentos - SNIS</t>
  </si>
  <si>
    <t>BD TAI</t>
  </si>
  <si>
    <t>Investimentos Totais</t>
  </si>
  <si>
    <r>
      <t>Receita Direta Bruta</t>
    </r>
    <r>
      <rPr>
        <vertAlign val="superscript"/>
        <sz val="10"/>
        <color theme="1"/>
        <rFont val="Calibri"/>
        <family val="2"/>
        <scheme val="minor"/>
      </rPr>
      <t>1</t>
    </r>
  </si>
  <si>
    <r>
      <t>Receita Direta Líquida</t>
    </r>
    <r>
      <rPr>
        <vertAlign val="superscript"/>
        <sz val="10"/>
        <color theme="1"/>
        <rFont val="Calibri"/>
        <family val="2"/>
        <scheme val="minor"/>
      </rPr>
      <t>2</t>
    </r>
  </si>
  <si>
    <r>
      <t>Real (jun/2020)</t>
    </r>
    <r>
      <rPr>
        <b/>
        <vertAlign val="superscript"/>
        <sz val="10"/>
        <color theme="0"/>
        <rFont val="Calibri"/>
        <family val="2"/>
        <scheme val="minor"/>
      </rPr>
      <t>1</t>
    </r>
  </si>
  <si>
    <r>
      <t xml:space="preserve">Fonte: </t>
    </r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>Valores do Balanço Hídrico de 2020 informados pela SANESUL.</t>
    </r>
  </si>
  <si>
    <t>Fonte: Diponibilizado pela SANESUL no arquivo "Quadro II - Coleta de Dados - Custos e Despesas 2015 a 2020". * Notas: Metas de perdas aplicadas.</t>
  </si>
  <si>
    <r>
      <t>Índice IPCA (junho)</t>
    </r>
    <r>
      <rPr>
        <vertAlign val="superscript"/>
        <sz val="10"/>
        <color theme="1"/>
        <rFont val="Calibri"/>
        <family val="2"/>
        <scheme val="minor"/>
      </rPr>
      <t>(2)</t>
    </r>
  </si>
  <si>
    <t xml:space="preserve">VPL Receita - VPL Despesa  = </t>
  </si>
  <si>
    <t>Despesas Eficientes</t>
  </si>
  <si>
    <r>
      <t xml:space="preserve">Fonte: </t>
    </r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>Dados de 2020 informados pela SANESUL (Banco Patrimonial).</t>
    </r>
  </si>
  <si>
    <t>Nota: estoque de ativos a dezembro de cada ano</t>
  </si>
  <si>
    <t>Fator de Produtividade (%) - Ciclo de 4 anos</t>
  </si>
  <si>
    <t>Fator de Produtividade (% a.a.)</t>
  </si>
  <si>
    <t>INVESTIMENTOS ONEROSOS SNIS</t>
  </si>
  <si>
    <r>
      <t>Investimentos (R$)</t>
    </r>
    <r>
      <rPr>
        <vertAlign val="superscript"/>
        <sz val="10"/>
        <color theme="1"/>
        <rFont val="Calibri"/>
        <family val="2"/>
        <scheme val="minor"/>
      </rPr>
      <t>2</t>
    </r>
  </si>
  <si>
    <r>
      <t>Receita Líquida (R$)</t>
    </r>
    <r>
      <rPr>
        <vertAlign val="superscript"/>
        <sz val="10"/>
        <color theme="1"/>
        <rFont val="Calibri"/>
        <family val="2"/>
        <scheme val="minor"/>
      </rPr>
      <t xml:space="preserve"> 1</t>
    </r>
  </si>
  <si>
    <r>
      <t>Receita Líquida TAI (R$)</t>
    </r>
    <r>
      <rPr>
        <vertAlign val="superscript"/>
        <sz val="10"/>
        <color theme="1"/>
        <rFont val="Calibri"/>
        <family val="2"/>
        <scheme val="minor"/>
      </rPr>
      <t xml:space="preserve"> 1</t>
    </r>
  </si>
  <si>
    <t>(+) Reintegração da BARB</t>
  </si>
  <si>
    <t xml:space="preserve">Alíquotas IRPF+CSLL = </t>
  </si>
  <si>
    <t xml:space="preserve">WACC real depois de impostos = </t>
  </si>
  <si>
    <t xml:space="preserve">WACC real antes de impostos = </t>
  </si>
  <si>
    <t xml:space="preserve">Reposicionamento Tarifário = </t>
  </si>
  <si>
    <t>Tarifa Média (R$/m³) (ago/2021)</t>
  </si>
  <si>
    <t>Fonte: Resumo do faturamento de agosto, enviado pela SANESUL.</t>
  </si>
  <si>
    <t>Demais Municípios</t>
  </si>
  <si>
    <t xml:space="preserve">Reposicionamento Tarifário Descontado a Inflação = </t>
  </si>
  <si>
    <t>Data-base do último reajuste</t>
  </si>
  <si>
    <t>Inflação para data-base do modelo</t>
  </si>
  <si>
    <t>Tarifa de Esgoto (out/2020)</t>
  </si>
  <si>
    <t>Projeção do Volume Faturado de Esgoto (out/2020)</t>
  </si>
  <si>
    <t>Projeção da Receita de Contraprestação (out/2020)</t>
  </si>
  <si>
    <t>Ligações de água - Bruto</t>
  </si>
  <si>
    <t>Não onerosos no Banco Patrimonial - Bruto</t>
  </si>
  <si>
    <t>Receita Líquida TAI (R$)</t>
  </si>
  <si>
    <t>DADOS DO EFETIVO DE PESSOAL</t>
  </si>
  <si>
    <t>NÍVEL DE DETALHAMENTO: POR UNIDADE REGIONAL E CONSOLIDADO SANESUL</t>
  </si>
  <si>
    <t>EMPREGADOS TOTAL SANESUL</t>
  </si>
  <si>
    <t>Qtde</t>
  </si>
  <si>
    <t>Projetos &amp; Operações</t>
  </si>
  <si>
    <t>Ambos</t>
  </si>
  <si>
    <t>Administração</t>
  </si>
  <si>
    <t>Financeiro</t>
  </si>
  <si>
    <t>Marketing</t>
  </si>
  <si>
    <t>* Adicionar especificação se necessário</t>
  </si>
  <si>
    <t>Custo Unitário 2020</t>
  </si>
  <si>
    <t>Empregados</t>
  </si>
  <si>
    <t>Custo Unitário</t>
  </si>
  <si>
    <t>Projeção</t>
  </si>
  <si>
    <t xml:space="preserve">Receita Direta Bruta </t>
  </si>
  <si>
    <t xml:space="preserve">Receita Direta Líquida </t>
  </si>
  <si>
    <t xml:space="preserve">Tarifa Média (R$/m³) </t>
  </si>
  <si>
    <t>Alíquota Proxy (PIS/COFINS)</t>
  </si>
  <si>
    <r>
      <t>Volume Faturado Água (m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)  </t>
    </r>
  </si>
  <si>
    <r>
      <t>Volume Faturado Esgoto (m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)  </t>
    </r>
  </si>
  <si>
    <t>Reequilíbrio Economico-Financeiro</t>
  </si>
  <si>
    <t>Projeção Empregados</t>
  </si>
  <si>
    <t>Projeção de funcionários</t>
  </si>
  <si>
    <t>Custos Operacionais - ADM</t>
  </si>
  <si>
    <t>Projeção de custos operacionais</t>
  </si>
  <si>
    <t>CUSTOS OPERACIONAIS</t>
  </si>
  <si>
    <t>TRATAMENTO DE PERDAS</t>
  </si>
  <si>
    <t>Tratamento de Perdas Projetado</t>
  </si>
  <si>
    <t xml:space="preserve">Tarifa Média Inflacionada para data-base do modelo (R$/m³) </t>
  </si>
  <si>
    <r>
      <t xml:space="preserve">Fonte: </t>
    </r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Dados do SNS até 2019, e 2020 diponibilizado pela SANESUL no arquivo "INVESTIMENTOS 2020 - COM RATEIO - LOCALIDADE"; </t>
    </r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>Diponibilizado pela SANESUL no arquivo "Plano de Negócios - Investimentos 2021 a 2026"</t>
    </r>
  </si>
  <si>
    <t>Mercado</t>
  </si>
  <si>
    <t>Investimentos SAA por acréscimo de ligações de água</t>
  </si>
  <si>
    <t>Investimentos Outros - Média Histórica</t>
  </si>
  <si>
    <t>BASE DE REMUNERAÇÃO REGULATÓRIA</t>
  </si>
  <si>
    <t>INVESTIMENTOS</t>
  </si>
  <si>
    <t>Ajustes</t>
  </si>
  <si>
    <t>Reais ou Projetados pela SANESUL</t>
  </si>
  <si>
    <t>Investimentos Considerados</t>
  </si>
  <si>
    <t>Investimentos em Bens de Uso Geral (Outros)</t>
  </si>
  <si>
    <t>Investimentos em SAA</t>
  </si>
  <si>
    <t>Média (2017-2020)</t>
  </si>
  <si>
    <t>NÃO ONEROSOS</t>
  </si>
  <si>
    <t>TARIFA ADICIONAL PARA INVESTIMENTOS</t>
  </si>
  <si>
    <t>DRIVERS DE PROJEÇÃO</t>
  </si>
  <si>
    <t>Data: 09/09/2021</t>
  </si>
  <si>
    <t>Obs 3:  A Sanesul não utiliza o número de ligações ativas como parâmetro para fazer a projeção da receita e, sim somente o número de economias ativas.</t>
  </si>
  <si>
    <t>Obs 2: O Plano de Negócio da Sanesul foi projetado para o periodo de 2021 a 2025. Portanto não temos as projeções para o ano de 2026.</t>
  </si>
  <si>
    <t>Obs 1: Nos itens 3 e 4 (respectivamente) - volume medido de água  e esgoto e volume faturado de água e esgoto, a Sanesul utiliza a unidade em ''m³/econ/ano", ao invés de m³/econ/mês.</t>
  </si>
  <si>
    <r>
      <rPr>
        <sz val="9"/>
        <rFont val="Symbol"/>
        <family val="1"/>
        <charset val="2"/>
      </rPr>
      <t>D</t>
    </r>
    <r>
      <rPr>
        <sz val="11.7"/>
        <rFont val="Calibri"/>
        <family val="2"/>
      </rPr>
      <t>%</t>
    </r>
  </si>
  <si>
    <t>6. Outros volumes (adicionar, caso necessário)</t>
  </si>
  <si>
    <t>5. Volume Caminhão Limpa Fossa</t>
  </si>
  <si>
    <t>m³ / econ / mês</t>
  </si>
  <si>
    <t>4.5</t>
  </si>
  <si>
    <t>Pública</t>
  </si>
  <si>
    <t>4.4</t>
  </si>
  <si>
    <t>4.3</t>
  </si>
  <si>
    <t>4.2</t>
  </si>
  <si>
    <t xml:space="preserve">Residencial </t>
  </si>
  <si>
    <t>4.1</t>
  </si>
  <si>
    <t>4. Volume faturado de esgoto (medido + não medido)</t>
  </si>
  <si>
    <t>m³ / lig / mês</t>
  </si>
  <si>
    <t>3.5</t>
  </si>
  <si>
    <t>3.4</t>
  </si>
  <si>
    <t>3.3</t>
  </si>
  <si>
    <t>3.2</t>
  </si>
  <si>
    <t>3.1</t>
  </si>
  <si>
    <t>3. Volume medido de água das ligações com esgoto</t>
  </si>
  <si>
    <r>
      <rPr>
        <b/>
        <sz val="9"/>
        <rFont val="Symbol"/>
        <family val="1"/>
        <charset val="2"/>
      </rPr>
      <t>D</t>
    </r>
    <r>
      <rPr>
        <b/>
        <sz val="11.7"/>
        <rFont val="Calibri"/>
        <family val="2"/>
      </rPr>
      <t>%</t>
    </r>
  </si>
  <si>
    <t>2. Número de Ligações Ativas</t>
  </si>
  <si>
    <t>1. Número de Economias Ativas</t>
  </si>
  <si>
    <t>SISTEMA DE ESGOTO</t>
  </si>
  <si>
    <t>DADOS DE MERCADO</t>
  </si>
  <si>
    <t>REVISÃO TARIFÁRIA ORDINÁRIA       -       SANESUL</t>
  </si>
  <si>
    <t>5. Volume Caminhão-Pipa</t>
  </si>
  <si>
    <t xml:space="preserve">4. Volume faturado de água (medido + não medido) </t>
  </si>
  <si>
    <t xml:space="preserve">3. Volume medido de água </t>
  </si>
  <si>
    <t>1. Número de Economias Ativas (medido e não medido)</t>
  </si>
  <si>
    <t>SISTEMA DE ÁGUA</t>
  </si>
  <si>
    <t>INDICADORES</t>
  </si>
  <si>
    <t>vol. Faturado/vol. Medido - Total</t>
  </si>
  <si>
    <t>Investimentos SAA - Média de investimentos por acréscimo de lig.</t>
  </si>
  <si>
    <t>Investimentos SAA - Máximo de investimentos por acréscimo de lig.</t>
  </si>
  <si>
    <t>Máximo (2017-2020) de Investimentos por Acréscimo de Ligações</t>
  </si>
  <si>
    <t>Média (2017-2020) de Investimentos por Acréscimo de Ligações</t>
  </si>
  <si>
    <t>Fonte: IBGE; Relatório Focus, publicado dia 06/09/2021.</t>
  </si>
  <si>
    <t>Acréscimo de ligações</t>
  </si>
  <si>
    <t>nominal</t>
  </si>
  <si>
    <t>Fonte: Valores do Balanço Hídrico de 2023 informados pelo SINISA.</t>
  </si>
  <si>
    <t>Ligações de esgoto</t>
  </si>
  <si>
    <t>Religações e sansões</t>
  </si>
  <si>
    <t>Ampliações de água</t>
  </si>
  <si>
    <t>Ampliações de esgoto</t>
  </si>
  <si>
    <t>Acréscimo por impontualidade</t>
  </si>
  <si>
    <t>Análises de água</t>
  </si>
  <si>
    <t>ORDENADOS E SALARIOS-H NORMAIS</t>
  </si>
  <si>
    <t>ORDENADOS E SALARIOS-H EXTRAS</t>
  </si>
  <si>
    <t>AJUDA DE CUSTO</t>
  </si>
  <si>
    <t>GRAT FUNCAO CARGO COMISSAO</t>
  </si>
  <si>
    <t>PARTICIPACAO RESULTADO</t>
  </si>
  <si>
    <t>PREVIDENCIA SOCIAL</t>
  </si>
  <si>
    <t>FGTS</t>
  </si>
  <si>
    <t>PREVIDENCIA SOCIAL FERIAS</t>
  </si>
  <si>
    <t>FGTS FERIAS</t>
  </si>
  <si>
    <t>PREVIDENCIA SOCIAL 13 SALARIO</t>
  </si>
  <si>
    <t>FGTS 13 SALARIO</t>
  </si>
  <si>
    <t>ASSIST MEDICA SOCIAL</t>
  </si>
  <si>
    <t>PROG ALIMENTACAO TRABALHADOR</t>
  </si>
  <si>
    <t>FORMACAO PROFIS EMPREGADOS</t>
  </si>
  <si>
    <t>ASSISTENCIA ODONTOLOGICA</t>
  </si>
  <si>
    <t>SALARIO PATERNIDADE - INCENTIVO FISCAL</t>
  </si>
  <si>
    <t>FERIAS</t>
  </si>
  <si>
    <t>ABONOS DE FERIAS</t>
  </si>
  <si>
    <t>13 SALARIO</t>
  </si>
  <si>
    <t>Materiais Gerais(DESPESAS DE MATERIAIS)</t>
  </si>
  <si>
    <t>Material de Expediente</t>
  </si>
  <si>
    <t>Material de Conservação e Manutenção de Sistemas</t>
  </si>
  <si>
    <t>Material de Conservação e Reparo de Outros Bens</t>
  </si>
  <si>
    <t>Material de Limpeza e Higiene</t>
  </si>
  <si>
    <t>Material de Oficina</t>
  </si>
  <si>
    <t>Material de Laboratório</t>
  </si>
  <si>
    <t>Material de Manutenção de Hidrômetros</t>
  </si>
  <si>
    <t>Material de Informática e Comunicação</t>
  </si>
  <si>
    <t>Ferramentas Perecíveis</t>
  </si>
  <si>
    <t>Combustíveis e Lubrificantes de Equipamentos Operaci</t>
  </si>
  <si>
    <t>Combustíveis e Lubrificantes de Veículos</t>
  </si>
  <si>
    <t>Material de Segurança e Proteção</t>
  </si>
  <si>
    <t>Material de Conservação e Manutenção de Veículos</t>
  </si>
  <si>
    <t>Material de Conservação e Manutenção de Equipamentos</t>
  </si>
  <si>
    <t>Serviços de terceiros (TOTAL SERV TERCEIROS)</t>
  </si>
  <si>
    <t>1.4.1 - Serviços de terceiros (OUTROS)</t>
  </si>
  <si>
    <t>Serv. Cons. Manut. Sistemas</t>
  </si>
  <si>
    <t>Serv. Cons. Rep. Outros Bens</t>
  </si>
  <si>
    <t>Serv. Emissão, Leitura e Entrega de</t>
  </si>
  <si>
    <t>Telefone e Internet</t>
  </si>
  <si>
    <t>Encargos Previdência Social (tercei</t>
  </si>
  <si>
    <t>Serv. de Cortes e Religação</t>
  </si>
  <si>
    <t>Serv. Cons. Manutenção Veículos</t>
  </si>
  <si>
    <t>Serv. de Cópias e Reprodução</t>
  </si>
  <si>
    <t>Locação de Bens Móveis e Equipament</t>
  </si>
  <si>
    <t>Serv. Prestados por Pessoa Física</t>
  </si>
  <si>
    <t>Serv. Manutenção Sistema de Esgoto</t>
  </si>
  <si>
    <t>Serv. Call Center</t>
  </si>
  <si>
    <t>Serviço de Reposição Asfáltica</t>
  </si>
  <si>
    <t>Serv. de Limpeza e Higiene</t>
  </si>
  <si>
    <t>Serv. de Vigilância</t>
  </si>
  <si>
    <t>Contraprestação – PPP Esgoto</t>
  </si>
  <si>
    <t>Outros Serviços de Terceiros</t>
  </si>
  <si>
    <t>Energia Elétrica</t>
  </si>
  <si>
    <t>1.6.1 -Despesas gerais (OUTRAS)</t>
  </si>
  <si>
    <t>Lanches e Refeições</t>
  </si>
  <si>
    <t>Taxas e Emolumentos</t>
  </si>
  <si>
    <t>Diárias de Viagens – Cartão</t>
  </si>
  <si>
    <t>Copa e Cozinha</t>
  </si>
  <si>
    <t>Outras Despesas Gerais</t>
  </si>
  <si>
    <t>Despesas Financeiras</t>
  </si>
  <si>
    <t>Depreciações</t>
  </si>
  <si>
    <t>Amortizações do Intangível</t>
  </si>
  <si>
    <t>2 - OUTRAS DESPESAS/PROVISÕES</t>
  </si>
  <si>
    <t>Provisões</t>
  </si>
  <si>
    <t>Regionais e Administração Central</t>
  </si>
  <si>
    <t>3 - PIS-PASEP / COFINS</t>
  </si>
  <si>
    <t>Despesas Fiscais de Tributárias</t>
  </si>
  <si>
    <t>LIGACOES ÁGUA</t>
  </si>
  <si>
    <t>ACRESCIMO POR IMPONTUALID</t>
  </si>
  <si>
    <t>RELIGACOES E SANCOES</t>
  </si>
  <si>
    <t>TARIFA FIXA</t>
  </si>
  <si>
    <t>ANALISES DE AGUA</t>
  </si>
  <si>
    <t>LIGACOES</t>
  </si>
  <si>
    <t>AMPLIACOES ESGOTO</t>
  </si>
  <si>
    <t>OPEX 2024</t>
  </si>
  <si>
    <t>TOTAL BRUTO</t>
  </si>
  <si>
    <t>TOTAL LÍQUIDO</t>
  </si>
  <si>
    <t>Receita Direta Bruta</t>
  </si>
  <si>
    <t>IPCA jul/2025</t>
  </si>
  <si>
    <t>Projeção de Inflação em 2021] (Relatório Focus, 20/09/2021):</t>
  </si>
  <si>
    <t>Mês de Referência: dez/24</t>
  </si>
  <si>
    <t>Mês de Referência: dez/23</t>
  </si>
  <si>
    <t>Mês de Referência: dez/22</t>
  </si>
  <si>
    <t>Mês de Referência: dez/21</t>
  </si>
  <si>
    <t>Informações - Agosto/2025</t>
  </si>
  <si>
    <t>1 - O&amp;M: SISTEMAS DE ÁGUA E ESGOTO</t>
  </si>
  <si>
    <t>Volume de água faturado</t>
  </si>
  <si>
    <t>Volume de esgoto faturado</t>
  </si>
  <si>
    <t>FUNDAÇÃO THEODOMIRO SANTIAGO - FTS</t>
  </si>
  <si>
    <t>RVEISÃO TARIFÁRIA SANESUL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</si>
</sst>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#,##0.0;\-#,##0.0;\-"/>
    <numFmt numFmtId="166" formatCode="0.0%"/>
    <numFmt numFmtId="167" formatCode="[$-416]mmm\-yy;@"/>
    <numFmt numFmtId="168" formatCode="_ * #,##0_ ;_ * \-#,##0_ ;_ * &quot;-&quot;??_ ;_ @_ "/>
    <numFmt numFmtId="169" formatCode="#,##0.0000_ ;\-#,##0.0000\ "/>
    <numFmt numFmtId="170" formatCode="#,##0.00000000"/>
    <numFmt numFmtId="171" formatCode="0.000%"/>
    <numFmt numFmtId="172" formatCode="#,##0.0000"/>
    <numFmt numFmtId="173" formatCode="_([$€-2]* #,##0.00_);_([$€-2]* \(#,##0.00\);_([$€-2]* &quot;-&quot;??_)"/>
    <numFmt numFmtId="174" formatCode="#,##0.000"/>
    <numFmt numFmtId="175" formatCode="[$-416]mmm/yy;@"/>
    <numFmt numFmtId="176" formatCode="[$-416]mmmm\-yy;@"/>
    <numFmt numFmtId="177" formatCode="[$-416]mmmm/yy;@"/>
    <numFmt numFmtId="178" formatCode="#,##0.0"/>
    <numFmt numFmtId="179" formatCode="0_ ;\-0\ "/>
    <numFmt numFmtId="180" formatCode="_(* #,##0.00_);_(* \(#,##0.00\);_(* &quot;-&quot;??_);_(@_)"/>
    <numFmt numFmtId="181" formatCode="#,##0;\-#,##0;\-"/>
    <numFmt numFmtId="182" formatCode="#,##0_ ;\-#,##0\ "/>
  </numFmts>
  <fonts count="7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rgb="FF076372"/>
      <name val="Calibri"/>
      <family val="2"/>
      <scheme val="minor"/>
    </font>
    <font>
      <sz val="11"/>
      <color rgb="FF076372"/>
      <name val="Calibri"/>
      <family val="2"/>
      <scheme val="minor"/>
    </font>
    <font>
      <b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0"/>
      <color rgb="FF000000"/>
      <name val="Arial"/>
      <family val="2"/>
    </font>
    <font>
      <b/>
      <sz val="9"/>
      <name val="Calibri"/>
      <family val="2"/>
    </font>
    <font>
      <b/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b/>
      <sz val="12"/>
      <color theme="1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0"/>
      <color theme="0" tint="-0.499984740745262"/>
      <name val="Calibri"/>
      <family val="2"/>
      <scheme val="minor"/>
    </font>
    <font>
      <b/>
      <u/>
      <sz val="10"/>
      <color theme="0"/>
      <name val="Calibri"/>
      <family val="2"/>
      <scheme val="minor"/>
    </font>
    <font>
      <sz val="12"/>
      <name val="Arial MT"/>
    </font>
    <font>
      <sz val="10"/>
      <name val="Courier"/>
      <family val="3"/>
    </font>
    <font>
      <b/>
      <sz val="8"/>
      <color theme="0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u/>
      <sz val="14"/>
      <color theme="9" tint="-0.249977111117893"/>
      <name val="Calibri"/>
      <family val="2"/>
      <scheme val="minor"/>
    </font>
    <font>
      <sz val="10"/>
      <color rgb="FFFF0000"/>
      <name val="Arial Narrow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Symbol"/>
      <family val="1"/>
      <charset val="2"/>
    </font>
    <font>
      <sz val="11.7"/>
      <name val="Calibri"/>
      <family val="2"/>
    </font>
    <font>
      <b/>
      <sz val="9"/>
      <name val="Symbol"/>
      <family val="1"/>
      <charset val="2"/>
    </font>
    <font>
      <b/>
      <sz val="11.7"/>
      <name val="Calibri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rgb="FFFF0000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lightUp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/>
      </left>
      <right/>
      <top/>
      <bottom style="thin">
        <color theme="4" tint="0.39997558519241921"/>
      </bottom>
      <diagonal/>
    </border>
    <border>
      <left/>
      <right style="thin">
        <color theme="4"/>
      </right>
      <top/>
      <bottom style="thin">
        <color theme="4" tint="0.39997558519241921"/>
      </bottom>
      <diagonal/>
    </border>
    <border>
      <left style="thin">
        <color theme="4"/>
      </left>
      <right/>
      <top style="thin">
        <color theme="4" tint="0.39997558519241921"/>
      </top>
      <bottom style="thin">
        <color theme="4"/>
      </bottom>
      <diagonal/>
    </border>
    <border>
      <left/>
      <right/>
      <top style="thin">
        <color theme="4" tint="0.39997558519241921"/>
      </top>
      <bottom style="thin">
        <color theme="4"/>
      </bottom>
      <diagonal/>
    </border>
    <border>
      <left/>
      <right style="thin">
        <color theme="4"/>
      </right>
      <top style="thin">
        <color theme="4" tint="0.39997558519241921"/>
      </top>
      <bottom style="thin">
        <color theme="4"/>
      </bottom>
      <diagonal/>
    </border>
    <border>
      <left style="thin">
        <color theme="2" tint="-9.9978637043366805E-2"/>
      </left>
      <right/>
      <top/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theme="2" tint="-9.9978637043366805E-2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indexed="64"/>
      </top>
      <bottom style="thin">
        <color theme="2" tint="-9.9978637043366805E-2"/>
      </bottom>
      <diagonal/>
    </border>
    <border>
      <left style="thin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 style="thin">
        <color theme="2" tint="-9.9978637043366805E-2"/>
      </left>
      <right style="thin">
        <color indexed="64"/>
      </right>
      <top style="thin">
        <color theme="2" tint="-9.9978637043366805E-2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0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0"/>
      </top>
      <bottom style="thin">
        <color theme="0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0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0" tint="-0.3499862666707357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1" fillId="0" borderId="0"/>
    <xf numFmtId="43" fontId="6" fillId="0" borderId="0" applyFont="0" applyFill="0" applyBorder="0" applyAlignment="0" applyProtection="0"/>
    <xf numFmtId="0" fontId="21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10" borderId="37" applyNumberFormat="0" applyFont="0" applyAlignment="0" applyProtection="0"/>
    <xf numFmtId="9" fontId="6" fillId="0" borderId="0" applyFont="0" applyFill="0" applyBorder="0" applyAlignment="0" applyProtection="0"/>
    <xf numFmtId="0" fontId="28" fillId="0" borderId="0"/>
    <xf numFmtId="0" fontId="6" fillId="0" borderId="0"/>
    <xf numFmtId="9" fontId="28" fillId="0" borderId="0" applyFont="0" applyFill="0" applyBorder="0" applyAlignment="0" applyProtection="0"/>
    <xf numFmtId="0" fontId="28" fillId="0" borderId="0"/>
    <xf numFmtId="0" fontId="29" fillId="0" borderId="0"/>
    <xf numFmtId="0" fontId="6" fillId="12" borderId="0" applyNumberFormat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/>
    <xf numFmtId="0" fontId="21" fillId="0" borderId="0"/>
    <xf numFmtId="9" fontId="6" fillId="0" borderId="0"/>
    <xf numFmtId="37" fontId="45" fillId="0" borderId="0"/>
    <xf numFmtId="173" fontId="21" fillId="0" borderId="0" applyFont="0" applyFill="0" applyBorder="0" applyAlignment="0" applyProtection="0"/>
    <xf numFmtId="0" fontId="46" fillId="0" borderId="0"/>
    <xf numFmtId="0" fontId="21" fillId="0" borderId="0"/>
    <xf numFmtId="0" fontId="21" fillId="0" borderId="0"/>
    <xf numFmtId="0" fontId="42" fillId="0" borderId="0">
      <alignment vertical="top"/>
    </xf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>
      <alignment vertical="top"/>
    </xf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>
      <alignment vertical="top"/>
    </xf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" fillId="0" borderId="0" applyFont="0" applyFill="0" applyBorder="0" applyAlignment="0" applyProtection="0"/>
  </cellStyleXfs>
  <cellXfs count="678">
    <xf numFmtId="0" fontId="0" fillId="0" borderId="0" xfId="0"/>
    <xf numFmtId="0" fontId="8" fillId="0" borderId="0" xfId="0" applyFont="1" applyAlignment="1">
      <alignment vertical="center"/>
    </xf>
    <xf numFmtId="0" fontId="8" fillId="0" borderId="0" xfId="0" applyFont="1"/>
    <xf numFmtId="17" fontId="0" fillId="0" borderId="0" xfId="0" applyNumberFormat="1"/>
    <xf numFmtId="0" fontId="11" fillId="0" borderId="0" xfId="0" applyFont="1"/>
    <xf numFmtId="0" fontId="12" fillId="0" borderId="0" xfId="0" applyFont="1"/>
    <xf numFmtId="0" fontId="13" fillId="9" borderId="11" xfId="0" applyFont="1" applyFill="1" applyBorder="1" applyAlignment="1">
      <alignment horizontal="left" vertical="center"/>
    </xf>
    <xf numFmtId="0" fontId="13" fillId="9" borderId="12" xfId="0" applyFont="1" applyFill="1" applyBorder="1" applyAlignment="1">
      <alignment vertical="center"/>
    </xf>
    <xf numFmtId="0" fontId="13" fillId="9" borderId="12" xfId="0" applyFont="1" applyFill="1" applyBorder="1" applyAlignment="1">
      <alignment horizontal="center" vertical="center"/>
    </xf>
    <xf numFmtId="4" fontId="13" fillId="9" borderId="14" xfId="0" applyNumberFormat="1" applyFont="1" applyFill="1" applyBorder="1" applyAlignment="1">
      <alignment horizontal="left" vertical="center"/>
    </xf>
    <xf numFmtId="0" fontId="13" fillId="9" borderId="0" xfId="0" applyFont="1" applyFill="1" applyAlignment="1">
      <alignment vertical="center"/>
    </xf>
    <xf numFmtId="0" fontId="13" fillId="9" borderId="0" xfId="0" applyFont="1" applyFill="1" applyAlignment="1">
      <alignment horizontal="center" vertical="center"/>
    </xf>
    <xf numFmtId="0" fontId="13" fillId="9" borderId="0" xfId="0" applyFont="1" applyFill="1" applyAlignment="1">
      <alignment horizontal="left" vertical="center"/>
    </xf>
    <xf numFmtId="0" fontId="13" fillId="9" borderId="14" xfId="0" applyFont="1" applyFill="1" applyBorder="1" applyAlignment="1">
      <alignment horizontal="left" vertical="center"/>
    </xf>
    <xf numFmtId="0" fontId="14" fillId="9" borderId="0" xfId="0" applyFont="1" applyFill="1" applyAlignment="1">
      <alignment vertical="center"/>
    </xf>
    <xf numFmtId="0" fontId="14" fillId="9" borderId="0" xfId="0" applyFont="1" applyFill="1" applyAlignment="1">
      <alignment horizontal="center" vertical="center"/>
    </xf>
    <xf numFmtId="0" fontId="13" fillId="9" borderId="16" xfId="0" applyFont="1" applyFill="1" applyBorder="1" applyAlignment="1">
      <alignment horizontal="left" vertical="center"/>
    </xf>
    <xf numFmtId="0" fontId="14" fillId="9" borderId="17" xfId="0" applyFont="1" applyFill="1" applyBorder="1" applyAlignment="1">
      <alignment vertical="center"/>
    </xf>
    <xf numFmtId="0" fontId="14" fillId="9" borderId="17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4" fontId="16" fillId="0" borderId="0" xfId="0" applyNumberFormat="1" applyFont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15" fillId="0" borderId="0" xfId="2" applyNumberFormat="1" applyFont="1" applyFill="1" applyBorder="1" applyAlignment="1" applyProtection="1">
      <alignment horizontal="center" vertical="center"/>
    </xf>
    <xf numFmtId="0" fontId="0" fillId="5" borderId="0" xfId="0" applyFill="1"/>
    <xf numFmtId="3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1" fontId="5" fillId="6" borderId="35" xfId="1" applyNumberFormat="1" applyFont="1" applyFill="1" applyBorder="1" applyAlignment="1">
      <alignment horizontal="center" vertical="center"/>
    </xf>
    <xf numFmtId="0" fontId="2" fillId="0" borderId="36" xfId="0" applyFont="1" applyBorder="1"/>
    <xf numFmtId="4" fontId="0" fillId="0" borderId="0" xfId="0" applyNumberFormat="1"/>
    <xf numFmtId="10" fontId="5" fillId="6" borderId="35" xfId="1" applyNumberFormat="1" applyFont="1" applyFill="1" applyBorder="1" applyAlignment="1">
      <alignment horizontal="center" vertical="center"/>
    </xf>
    <xf numFmtId="0" fontId="8" fillId="5" borderId="35" xfId="0" applyFont="1" applyFill="1" applyBorder="1" applyAlignment="1">
      <alignment horizontal="left" vertical="center" indent="2"/>
    </xf>
    <xf numFmtId="10" fontId="8" fillId="0" borderId="35" xfId="1" applyNumberFormat="1" applyFont="1" applyFill="1" applyBorder="1" applyAlignment="1">
      <alignment horizontal="center" vertical="center"/>
    </xf>
    <xf numFmtId="3" fontId="8" fillId="0" borderId="35" xfId="1" applyNumberFormat="1" applyFont="1" applyFill="1" applyBorder="1" applyAlignment="1">
      <alignment horizontal="center" vertical="center"/>
    </xf>
    <xf numFmtId="4" fontId="8" fillId="0" borderId="35" xfId="1" applyNumberFormat="1" applyFont="1" applyFill="1" applyBorder="1" applyAlignment="1">
      <alignment horizontal="center" vertical="center"/>
    </xf>
    <xf numFmtId="0" fontId="7" fillId="5" borderId="35" xfId="0" applyFont="1" applyFill="1" applyBorder="1" applyAlignment="1">
      <alignment horizontal="left" vertical="center" indent="2"/>
    </xf>
    <xf numFmtId="10" fontId="7" fillId="0" borderId="35" xfId="1" applyNumberFormat="1" applyFont="1" applyFill="1" applyBorder="1" applyAlignment="1">
      <alignment horizontal="center" vertical="center"/>
    </xf>
    <xf numFmtId="3" fontId="7" fillId="0" borderId="35" xfId="1" applyNumberFormat="1" applyFont="1" applyFill="1" applyBorder="1" applyAlignment="1">
      <alignment horizontal="center" vertical="center"/>
    </xf>
    <xf numFmtId="10" fontId="0" fillId="0" borderId="0" xfId="0" applyNumberFormat="1"/>
    <xf numFmtId="0" fontId="2" fillId="0" borderId="36" xfId="0" applyFont="1" applyBorder="1" applyAlignment="1">
      <alignment horizontal="left"/>
    </xf>
    <xf numFmtId="0" fontId="0" fillId="2" borderId="0" xfId="0" applyFill="1"/>
    <xf numFmtId="0" fontId="13" fillId="11" borderId="11" xfId="0" applyFont="1" applyFill="1" applyBorder="1" applyAlignment="1">
      <alignment vertical="center"/>
    </xf>
    <xf numFmtId="0" fontId="13" fillId="11" borderId="12" xfId="0" applyFont="1" applyFill="1" applyBorder="1" applyAlignment="1">
      <alignment vertical="center"/>
    </xf>
    <xf numFmtId="0" fontId="13" fillId="11" borderId="13" xfId="0" applyFont="1" applyFill="1" applyBorder="1" applyAlignment="1">
      <alignment vertical="center"/>
    </xf>
    <xf numFmtId="0" fontId="13" fillId="11" borderId="14" xfId="0" applyFont="1" applyFill="1" applyBorder="1" applyAlignment="1">
      <alignment vertical="center"/>
    </xf>
    <xf numFmtId="0" fontId="13" fillId="11" borderId="0" xfId="0" applyFont="1" applyFill="1" applyAlignment="1">
      <alignment vertical="center"/>
    </xf>
    <xf numFmtId="0" fontId="13" fillId="11" borderId="15" xfId="0" applyFont="1" applyFill="1" applyBorder="1" applyAlignment="1">
      <alignment vertical="center"/>
    </xf>
    <xf numFmtId="0" fontId="13" fillId="11" borderId="16" xfId="0" applyFont="1" applyFill="1" applyBorder="1" applyAlignment="1">
      <alignment vertical="center"/>
    </xf>
    <xf numFmtId="0" fontId="13" fillId="11" borderId="17" xfId="0" applyFont="1" applyFill="1" applyBorder="1" applyAlignment="1">
      <alignment vertical="center"/>
    </xf>
    <xf numFmtId="0" fontId="13" fillId="11" borderId="18" xfId="0" applyFont="1" applyFill="1" applyBorder="1" applyAlignment="1">
      <alignment vertical="center"/>
    </xf>
    <xf numFmtId="0" fontId="13" fillId="0" borderId="10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30" fillId="0" borderId="43" xfId="15" applyFont="1" applyBorder="1" applyAlignment="1">
      <alignment horizontal="left" vertical="center" indent="1"/>
    </xf>
    <xf numFmtId="0" fontId="30" fillId="0" borderId="38" xfId="15" applyFont="1" applyBorder="1" applyAlignment="1">
      <alignment horizontal="center"/>
    </xf>
    <xf numFmtId="0" fontId="2" fillId="0" borderId="44" xfId="0" applyFont="1" applyBorder="1" applyAlignment="1">
      <alignment horizontal="left" indent="3"/>
    </xf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left" indent="3"/>
    </xf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left" indent="3"/>
    </xf>
    <xf numFmtId="0" fontId="2" fillId="0" borderId="49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0" fillId="2" borderId="50" xfId="15" applyFont="1" applyFill="1" applyBorder="1" applyAlignment="1">
      <alignment horizontal="left" vertical="center" indent="1"/>
    </xf>
    <xf numFmtId="0" fontId="3" fillId="0" borderId="41" xfId="0" applyFont="1" applyBorder="1" applyAlignment="1">
      <alignment horizontal="center"/>
    </xf>
    <xf numFmtId="0" fontId="13" fillId="3" borderId="11" xfId="0" applyFont="1" applyFill="1" applyBorder="1" applyAlignment="1">
      <alignment horizontal="left" vertical="center"/>
    </xf>
    <xf numFmtId="0" fontId="13" fillId="3" borderId="12" xfId="0" applyFont="1" applyFill="1" applyBorder="1" applyAlignment="1">
      <alignment vertical="center"/>
    </xf>
    <xf numFmtId="0" fontId="14" fillId="3" borderId="12" xfId="0" applyFont="1" applyFill="1" applyBorder="1" applyAlignment="1">
      <alignment vertical="center"/>
    </xf>
    <xf numFmtId="0" fontId="14" fillId="3" borderId="13" xfId="0" applyFont="1" applyFill="1" applyBorder="1" applyAlignment="1">
      <alignment vertical="center"/>
    </xf>
    <xf numFmtId="4" fontId="13" fillId="3" borderId="14" xfId="0" applyNumberFormat="1" applyFont="1" applyFill="1" applyBorder="1" applyAlignment="1">
      <alignment horizontal="left" vertical="center"/>
    </xf>
    <xf numFmtId="0" fontId="13" fillId="3" borderId="0" xfId="0" applyFont="1" applyFill="1" applyAlignment="1">
      <alignment vertical="center"/>
    </xf>
    <xf numFmtId="4" fontId="13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4" fillId="3" borderId="15" xfId="0" applyFont="1" applyFill="1" applyBorder="1" applyAlignment="1">
      <alignment vertical="center"/>
    </xf>
    <xf numFmtId="0" fontId="13" fillId="3" borderId="14" xfId="0" applyFont="1" applyFill="1" applyBorder="1" applyAlignment="1">
      <alignment horizontal="left" vertical="center"/>
    </xf>
    <xf numFmtId="0" fontId="13" fillId="3" borderId="16" xfId="0" applyFont="1" applyFill="1" applyBorder="1" applyAlignment="1">
      <alignment horizontal="left" vertical="center"/>
    </xf>
    <xf numFmtId="0" fontId="14" fillId="3" borderId="17" xfId="0" applyFont="1" applyFill="1" applyBorder="1" applyAlignment="1">
      <alignment vertical="center"/>
    </xf>
    <xf numFmtId="0" fontId="14" fillId="3" borderId="18" xfId="0" applyFont="1" applyFill="1" applyBorder="1" applyAlignment="1">
      <alignment vertical="center"/>
    </xf>
    <xf numFmtId="0" fontId="13" fillId="0" borderId="21" xfId="0" quotePrefix="1" applyFont="1" applyBorder="1" applyAlignment="1">
      <alignment horizontal="center" vertical="center"/>
    </xf>
    <xf numFmtId="0" fontId="15" fillId="0" borderId="7" xfId="0" applyFont="1" applyBorder="1" applyAlignment="1">
      <alignment vertical="center"/>
    </xf>
    <xf numFmtId="0" fontId="15" fillId="0" borderId="51" xfId="0" applyFont="1" applyBorder="1" applyAlignment="1">
      <alignment vertical="center"/>
    </xf>
    <xf numFmtId="3" fontId="30" fillId="0" borderId="32" xfId="0" applyNumberFormat="1" applyFont="1" applyBorder="1" applyAlignment="1">
      <alignment horizontal="center" vertical="center"/>
    </xf>
    <xf numFmtId="3" fontId="30" fillId="0" borderId="1" xfId="0" applyNumberFormat="1" applyFont="1" applyBorder="1" applyAlignment="1">
      <alignment horizontal="center" vertical="center"/>
    </xf>
    <xf numFmtId="165" fontId="30" fillId="0" borderId="1" xfId="0" applyNumberFormat="1" applyFont="1" applyBorder="1" applyAlignment="1">
      <alignment horizontal="center" vertical="center"/>
    </xf>
    <xf numFmtId="165" fontId="30" fillId="0" borderId="8" xfId="0" applyNumberFormat="1" applyFont="1" applyBorder="1" applyAlignment="1">
      <alignment horizontal="center" vertical="center"/>
    </xf>
    <xf numFmtId="0" fontId="19" fillId="0" borderId="22" xfId="0" applyFont="1" applyBorder="1" applyAlignment="1">
      <alignment horizontal="right" vertical="center"/>
    </xf>
    <xf numFmtId="166" fontId="19" fillId="0" borderId="25" xfId="1" applyNumberFormat="1" applyFont="1" applyFill="1" applyBorder="1" applyAlignment="1" applyProtection="1">
      <alignment horizontal="left" vertical="center" wrapText="1"/>
    </xf>
    <xf numFmtId="0" fontId="19" fillId="0" borderId="52" xfId="0" applyFont="1" applyBorder="1" applyAlignment="1">
      <alignment horizontal="center" vertical="center"/>
    </xf>
    <xf numFmtId="0" fontId="19" fillId="0" borderId="53" xfId="0" applyFont="1" applyBorder="1" applyAlignment="1">
      <alignment horizontal="right" vertical="center"/>
    </xf>
    <xf numFmtId="166" fontId="19" fillId="0" borderId="54" xfId="1" applyNumberFormat="1" applyFont="1" applyFill="1" applyBorder="1" applyAlignment="1" applyProtection="1">
      <alignment horizontal="left" vertical="center" wrapText="1"/>
    </xf>
    <xf numFmtId="0" fontId="19" fillId="0" borderId="33" xfId="0" applyFont="1" applyBorder="1" applyAlignment="1">
      <alignment horizontal="center" vertical="center"/>
    </xf>
    <xf numFmtId="0" fontId="19" fillId="0" borderId="24" xfId="0" applyFont="1" applyBorder="1" applyAlignment="1">
      <alignment horizontal="right" vertical="center"/>
    </xf>
    <xf numFmtId="166" fontId="19" fillId="0" borderId="26" xfId="1" applyNumberFormat="1" applyFont="1" applyFill="1" applyBorder="1" applyAlignment="1" applyProtection="1">
      <alignment horizontal="left" vertical="center" wrapText="1"/>
    </xf>
    <xf numFmtId="0" fontId="30" fillId="0" borderId="55" xfId="0" applyFont="1" applyBorder="1" applyAlignment="1">
      <alignment horizontal="right" vertical="center"/>
    </xf>
    <xf numFmtId="166" fontId="30" fillId="0" borderId="56" xfId="1" applyNumberFormat="1" applyFont="1" applyFill="1" applyBorder="1" applyAlignment="1" applyProtection="1">
      <alignment horizontal="left" vertical="center" wrapText="1"/>
    </xf>
    <xf numFmtId="0" fontId="30" fillId="0" borderId="33" xfId="0" applyFont="1" applyBorder="1" applyAlignment="1">
      <alignment horizontal="center" vertical="center"/>
    </xf>
    <xf numFmtId="43" fontId="18" fillId="0" borderId="27" xfId="0" applyNumberFormat="1" applyFont="1" applyBorder="1" applyAlignment="1">
      <alignment horizontal="center" vertical="center"/>
    </xf>
    <xf numFmtId="43" fontId="18" fillId="0" borderId="34" xfId="0" applyNumberFormat="1" applyFont="1" applyBorder="1" applyAlignment="1">
      <alignment horizontal="center" vertical="center"/>
    </xf>
    <xf numFmtId="43" fontId="18" fillId="0" borderId="57" xfId="0" applyNumberFormat="1" applyFont="1" applyBorder="1" applyAlignment="1">
      <alignment horizontal="center" vertical="center"/>
    </xf>
    <xf numFmtId="43" fontId="18" fillId="0" borderId="58" xfId="0" applyNumberFormat="1" applyFont="1" applyBorder="1" applyAlignment="1">
      <alignment horizontal="center" vertical="center"/>
    </xf>
    <xf numFmtId="9" fontId="30" fillId="0" borderId="1" xfId="1" applyFont="1" applyFill="1" applyBorder="1" applyAlignment="1" applyProtection="1">
      <alignment horizontal="center" vertical="center"/>
    </xf>
    <xf numFmtId="0" fontId="30" fillId="0" borderId="34" xfId="0" applyFont="1" applyBorder="1" applyAlignment="1">
      <alignment horizontal="center" vertical="center"/>
    </xf>
    <xf numFmtId="43" fontId="18" fillId="0" borderId="28" xfId="0" applyNumberFormat="1" applyFont="1" applyBorder="1" applyAlignment="1">
      <alignment horizontal="center" vertical="center"/>
    </xf>
    <xf numFmtId="0" fontId="30" fillId="0" borderId="56" xfId="0" applyFont="1" applyBorder="1" applyAlignment="1">
      <alignment horizontal="center" vertical="center"/>
    </xf>
    <xf numFmtId="166" fontId="30" fillId="0" borderId="59" xfId="1" applyNumberFormat="1" applyFont="1" applyFill="1" applyBorder="1" applyAlignment="1" applyProtection="1">
      <alignment horizontal="left" vertical="center" wrapText="1"/>
    </xf>
    <xf numFmtId="9" fontId="30" fillId="0" borderId="2" xfId="1" applyFont="1" applyFill="1" applyBorder="1" applyAlignment="1" applyProtection="1">
      <alignment horizontal="center" vertical="center"/>
    </xf>
    <xf numFmtId="43" fontId="0" fillId="0" borderId="0" xfId="0" applyNumberFormat="1"/>
    <xf numFmtId="1" fontId="18" fillId="0" borderId="58" xfId="0" applyNumberFormat="1" applyFont="1" applyBorder="1" applyAlignment="1">
      <alignment horizontal="center" vertical="center"/>
    </xf>
    <xf numFmtId="1" fontId="18" fillId="0" borderId="28" xfId="0" applyNumberFormat="1" applyFont="1" applyBorder="1" applyAlignment="1">
      <alignment horizontal="center" vertical="center"/>
    </xf>
    <xf numFmtId="1" fontId="30" fillId="0" borderId="56" xfId="0" applyNumberFormat="1" applyFont="1" applyBorder="1" applyAlignment="1">
      <alignment horizontal="center" vertical="center"/>
    </xf>
    <xf numFmtId="1" fontId="0" fillId="0" borderId="0" xfId="0" applyNumberFormat="1"/>
    <xf numFmtId="0" fontId="26" fillId="0" borderId="36" xfId="0" applyFont="1" applyBorder="1"/>
    <xf numFmtId="10" fontId="7" fillId="3" borderId="35" xfId="1" applyNumberFormat="1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left" vertical="center" indent="2"/>
    </xf>
    <xf numFmtId="0" fontId="31" fillId="5" borderId="35" xfId="0" applyFont="1" applyFill="1" applyBorder="1" applyAlignment="1">
      <alignment horizontal="left" vertical="center" indent="2"/>
    </xf>
    <xf numFmtId="9" fontId="8" fillId="0" borderId="0" xfId="1" applyFont="1" applyFill="1" applyBorder="1" applyAlignment="1">
      <alignment horizontal="center" vertical="center"/>
    </xf>
    <xf numFmtId="10" fontId="8" fillId="0" borderId="0" xfId="1" applyNumberFormat="1" applyFont="1" applyFill="1" applyBorder="1" applyAlignment="1">
      <alignment horizontal="center" vertical="center"/>
    </xf>
    <xf numFmtId="0" fontId="8" fillId="5" borderId="0" xfId="0" applyFont="1" applyFill="1" applyAlignment="1">
      <alignment horizontal="left" vertical="center" indent="2"/>
    </xf>
    <xf numFmtId="167" fontId="5" fillId="6" borderId="35" xfId="1" applyNumberFormat="1" applyFont="1" applyFill="1" applyBorder="1" applyAlignment="1">
      <alignment horizontal="center" vertical="center"/>
    </xf>
    <xf numFmtId="0" fontId="5" fillId="6" borderId="35" xfId="1" applyNumberFormat="1" applyFont="1" applyFill="1" applyBorder="1" applyAlignment="1">
      <alignment horizontal="center" vertical="center"/>
    </xf>
    <xf numFmtId="0" fontId="31" fillId="0" borderId="0" xfId="0" applyFont="1"/>
    <xf numFmtId="0" fontId="8" fillId="0" borderId="0" xfId="0" applyFont="1" applyAlignment="1">
      <alignment horizontal="center" vertical="center"/>
    </xf>
    <xf numFmtId="10" fontId="0" fillId="0" borderId="0" xfId="0" applyNumberFormat="1" applyAlignment="1">
      <alignment horizontal="center"/>
    </xf>
    <xf numFmtId="10" fontId="32" fillId="0" borderId="0" xfId="1" applyNumberFormat="1" applyFont="1" applyFill="1" applyBorder="1" applyAlignment="1">
      <alignment horizontal="center" vertical="center"/>
    </xf>
    <xf numFmtId="10" fontId="32" fillId="0" borderId="35" xfId="1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1" fontId="5" fillId="6" borderId="63" xfId="1" applyNumberFormat="1" applyFont="1" applyFill="1" applyBorder="1" applyAlignment="1">
      <alignment horizontal="center" vertical="center"/>
    </xf>
    <xf numFmtId="3" fontId="7" fillId="0" borderId="35" xfId="1" applyNumberFormat="1" applyFont="1" applyFill="1" applyBorder="1" applyAlignment="1">
      <alignment horizontal="left" vertical="center"/>
    </xf>
    <xf numFmtId="3" fontId="8" fillId="0" borderId="35" xfId="1" applyNumberFormat="1" applyFont="1" applyFill="1" applyBorder="1" applyAlignment="1">
      <alignment horizontal="right" vertical="center"/>
    </xf>
    <xf numFmtId="3" fontId="7" fillId="0" borderId="0" xfId="1" applyNumberFormat="1" applyFont="1" applyFill="1" applyBorder="1" applyAlignment="1">
      <alignment horizontal="right" vertical="center"/>
    </xf>
    <xf numFmtId="3" fontId="7" fillId="0" borderId="0" xfId="1" applyNumberFormat="1" applyFont="1" applyFill="1" applyBorder="1" applyAlignment="1">
      <alignment horizontal="left" vertical="center"/>
    </xf>
    <xf numFmtId="10" fontId="8" fillId="0" borderId="35" xfId="1" applyNumberFormat="1" applyFont="1" applyFill="1" applyBorder="1" applyAlignment="1">
      <alignment horizontal="right" vertical="center"/>
    </xf>
    <xf numFmtId="0" fontId="2" fillId="0" borderId="0" xfId="0" applyFont="1"/>
    <xf numFmtId="49" fontId="8" fillId="0" borderId="35" xfId="1" applyNumberFormat="1" applyFont="1" applyFill="1" applyBorder="1" applyAlignment="1">
      <alignment horizontal="left" vertical="center" indent="2"/>
    </xf>
    <xf numFmtId="49" fontId="7" fillId="5" borderId="35" xfId="1" applyNumberFormat="1" applyFont="1" applyFill="1" applyBorder="1" applyAlignment="1">
      <alignment horizontal="left" vertical="center" indent="1"/>
    </xf>
    <xf numFmtId="4" fontId="0" fillId="0" borderId="0" xfId="0" applyNumberFormat="1" applyAlignment="1">
      <alignment horizontal="center"/>
    </xf>
    <xf numFmtId="0" fontId="31" fillId="0" borderId="36" xfId="0" applyFont="1" applyBorder="1"/>
    <xf numFmtId="164" fontId="0" fillId="0" borderId="0" xfId="0" applyNumberFormat="1"/>
    <xf numFmtId="0" fontId="1" fillId="0" borderId="0" xfId="0" applyFont="1"/>
    <xf numFmtId="164" fontId="1" fillId="5" borderId="68" xfId="0" applyNumberFormat="1" applyFont="1" applyFill="1" applyBorder="1"/>
    <xf numFmtId="164" fontId="1" fillId="5" borderId="67" xfId="0" applyNumberFormat="1" applyFont="1" applyFill="1" applyBorder="1"/>
    <xf numFmtId="164" fontId="1" fillId="5" borderId="69" xfId="0" applyNumberFormat="1" applyFont="1" applyFill="1" applyBorder="1"/>
    <xf numFmtId="164" fontId="0" fillId="5" borderId="68" xfId="0" applyNumberFormat="1" applyFill="1" applyBorder="1" applyAlignment="1">
      <alignment horizontal="left" indent="2"/>
    </xf>
    <xf numFmtId="164" fontId="1" fillId="14" borderId="70" xfId="0" applyNumberFormat="1" applyFont="1" applyFill="1" applyBorder="1"/>
    <xf numFmtId="164" fontId="1" fillId="14" borderId="71" xfId="0" applyNumberFormat="1" applyFont="1" applyFill="1" applyBorder="1"/>
    <xf numFmtId="164" fontId="1" fillId="14" borderId="72" xfId="0" applyNumberFormat="1" applyFont="1" applyFill="1" applyBorder="1"/>
    <xf numFmtId="164" fontId="1" fillId="13" borderId="9" xfId="0" applyNumberFormat="1" applyFont="1" applyFill="1" applyBorder="1" applyAlignment="1">
      <alignment horizontal="center" vertical="center"/>
    </xf>
    <xf numFmtId="0" fontId="1" fillId="13" borderId="9" xfId="0" applyFont="1" applyFill="1" applyBorder="1" applyAlignment="1">
      <alignment horizontal="center" vertical="center"/>
    </xf>
    <xf numFmtId="164" fontId="33" fillId="5" borderId="68" xfId="0" applyNumberFormat="1" applyFont="1" applyFill="1" applyBorder="1" applyAlignment="1">
      <alignment horizontal="left" indent="2"/>
    </xf>
    <xf numFmtId="164" fontId="1" fillId="5" borderId="68" xfId="0" applyNumberFormat="1" applyFont="1" applyFill="1" applyBorder="1" applyAlignment="1">
      <alignment horizontal="left" indent="2"/>
    </xf>
    <xf numFmtId="164" fontId="1" fillId="5" borderId="69" xfId="0" applyNumberFormat="1" applyFont="1" applyFill="1" applyBorder="1" applyAlignment="1">
      <alignment horizontal="center"/>
    </xf>
    <xf numFmtId="0" fontId="36" fillId="0" borderId="0" xfId="0" applyFont="1"/>
    <xf numFmtId="3" fontId="7" fillId="7" borderId="35" xfId="1" applyNumberFormat="1" applyFont="1" applyFill="1" applyBorder="1" applyAlignment="1">
      <alignment horizontal="left" vertical="center"/>
    </xf>
    <xf numFmtId="3" fontId="8" fillId="7" borderId="35" xfId="1" applyNumberFormat="1" applyFont="1" applyFill="1" applyBorder="1" applyAlignment="1">
      <alignment horizontal="right" vertical="center"/>
    </xf>
    <xf numFmtId="170" fontId="8" fillId="0" borderId="35" xfId="1" applyNumberFormat="1" applyFont="1" applyFill="1" applyBorder="1" applyAlignment="1">
      <alignment horizontal="right" vertical="center"/>
    </xf>
    <xf numFmtId="17" fontId="37" fillId="0" borderId="0" xfId="0" applyNumberFormat="1" applyFont="1" applyAlignment="1">
      <alignment horizontal="center"/>
    </xf>
    <xf numFmtId="10" fontId="7" fillId="0" borderId="0" xfId="1" applyNumberFormat="1" applyFont="1" applyFill="1" applyBorder="1" applyAlignment="1">
      <alignment horizontal="left" vertical="center" indent="1"/>
    </xf>
    <xf numFmtId="1" fontId="5" fillId="6" borderId="35" xfId="1" applyNumberFormat="1" applyFont="1" applyFill="1" applyBorder="1" applyAlignment="1">
      <alignment horizontal="center" vertical="center" wrapText="1"/>
    </xf>
    <xf numFmtId="1" fontId="8" fillId="0" borderId="35" xfId="1" applyNumberFormat="1" applyFont="1" applyFill="1" applyBorder="1" applyAlignment="1">
      <alignment horizontal="center" vertical="center"/>
    </xf>
    <xf numFmtId="3" fontId="7" fillId="0" borderId="35" xfId="1" applyNumberFormat="1" applyFont="1" applyFill="1" applyBorder="1" applyAlignment="1">
      <alignment horizontal="right" vertical="center"/>
    </xf>
    <xf numFmtId="10" fontId="5" fillId="6" borderId="35" xfId="1" applyNumberFormat="1" applyFont="1" applyFill="1" applyBorder="1" applyAlignment="1">
      <alignment horizontal="left" vertical="center" indent="2"/>
    </xf>
    <xf numFmtId="0" fontId="13" fillId="11" borderId="11" xfId="0" applyFont="1" applyFill="1" applyBorder="1" applyAlignment="1">
      <alignment horizontal="left" vertical="center"/>
    </xf>
    <xf numFmtId="0" fontId="13" fillId="11" borderId="12" xfId="0" applyFont="1" applyFill="1" applyBorder="1" applyAlignment="1">
      <alignment horizontal="center" vertical="center"/>
    </xf>
    <xf numFmtId="0" fontId="14" fillId="11" borderId="12" xfId="0" applyFont="1" applyFill="1" applyBorder="1" applyAlignment="1">
      <alignment vertical="center"/>
    </xf>
    <xf numFmtId="0" fontId="14" fillId="11" borderId="13" xfId="0" applyFont="1" applyFill="1" applyBorder="1" applyAlignment="1">
      <alignment vertical="center"/>
    </xf>
    <xf numFmtId="4" fontId="13" fillId="11" borderId="14" xfId="0" applyNumberFormat="1" applyFont="1" applyFill="1" applyBorder="1" applyAlignment="1">
      <alignment horizontal="left" vertical="center"/>
    </xf>
    <xf numFmtId="0" fontId="13" fillId="11" borderId="0" xfId="0" applyFont="1" applyFill="1" applyAlignment="1">
      <alignment horizontal="center" vertical="center"/>
    </xf>
    <xf numFmtId="0" fontId="13" fillId="11" borderId="0" xfId="0" applyFont="1" applyFill="1" applyAlignment="1">
      <alignment horizontal="left" vertical="center"/>
    </xf>
    <xf numFmtId="4" fontId="13" fillId="11" borderId="0" xfId="0" applyNumberFormat="1" applyFont="1" applyFill="1" applyAlignment="1">
      <alignment vertical="center"/>
    </xf>
    <xf numFmtId="0" fontId="14" fillId="11" borderId="0" xfId="0" applyFont="1" applyFill="1" applyAlignment="1">
      <alignment vertical="center"/>
    </xf>
    <xf numFmtId="0" fontId="14" fillId="11" borderId="15" xfId="0" applyFont="1" applyFill="1" applyBorder="1" applyAlignment="1">
      <alignment vertical="center"/>
    </xf>
    <xf numFmtId="0" fontId="13" fillId="11" borderId="14" xfId="0" applyFont="1" applyFill="1" applyBorder="1" applyAlignment="1">
      <alignment horizontal="left" vertical="center"/>
    </xf>
    <xf numFmtId="0" fontId="14" fillId="11" borderId="0" xfId="0" applyFont="1" applyFill="1" applyAlignment="1">
      <alignment horizontal="center" vertical="center"/>
    </xf>
    <xf numFmtId="0" fontId="13" fillId="11" borderId="16" xfId="0" applyFont="1" applyFill="1" applyBorder="1" applyAlignment="1">
      <alignment horizontal="left" vertical="center"/>
    </xf>
    <xf numFmtId="0" fontId="14" fillId="11" borderId="17" xfId="0" applyFont="1" applyFill="1" applyBorder="1" applyAlignment="1">
      <alignment vertical="center"/>
    </xf>
    <xf numFmtId="0" fontId="14" fillId="11" borderId="17" xfId="0" applyFont="1" applyFill="1" applyBorder="1" applyAlignment="1">
      <alignment horizontal="center" vertical="center"/>
    </xf>
    <xf numFmtId="0" fontId="14" fillId="11" borderId="18" xfId="0" applyFont="1" applyFill="1" applyBorder="1" applyAlignment="1">
      <alignment vertical="center"/>
    </xf>
    <xf numFmtId="164" fontId="15" fillId="0" borderId="0" xfId="20" applyNumberFormat="1" applyFont="1" applyAlignment="1">
      <alignment horizontal="center" vertical="center"/>
    </xf>
    <xf numFmtId="0" fontId="17" fillId="17" borderId="7" xfId="0" applyFont="1" applyFill="1" applyBorder="1" applyAlignment="1">
      <alignment vertical="center"/>
    </xf>
    <xf numFmtId="0" fontId="17" fillId="17" borderId="1" xfId="0" applyFont="1" applyFill="1" applyBorder="1" applyAlignment="1">
      <alignment horizontal="left" vertical="center"/>
    </xf>
    <xf numFmtId="0" fontId="18" fillId="17" borderId="1" xfId="0" applyFont="1" applyFill="1" applyBorder="1" applyAlignment="1">
      <alignment horizontal="center" vertical="center"/>
    </xf>
    <xf numFmtId="3" fontId="18" fillId="17" borderId="1" xfId="0" applyNumberFormat="1" applyFont="1" applyFill="1" applyBorder="1" applyAlignment="1">
      <alignment horizontal="right" vertical="center"/>
    </xf>
    <xf numFmtId="164" fontId="18" fillId="17" borderId="32" xfId="20" applyNumberFormat="1" applyFont="1" applyFill="1" applyBorder="1" applyAlignment="1">
      <alignment horizontal="center" vertical="center"/>
    </xf>
    <xf numFmtId="164" fontId="18" fillId="17" borderId="31" xfId="20" applyNumberFormat="1" applyFont="1" applyFill="1" applyBorder="1" applyAlignment="1">
      <alignment horizontal="center" vertical="center"/>
    </xf>
    <xf numFmtId="4" fontId="19" fillId="0" borderId="26" xfId="0" applyNumberFormat="1" applyFont="1" applyBorder="1" applyAlignment="1">
      <alignment vertical="center"/>
    </xf>
    <xf numFmtId="0" fontId="4" fillId="0" borderId="26" xfId="0" applyFont="1" applyBorder="1" applyAlignment="1">
      <alignment horizontal="center" vertical="center"/>
    </xf>
    <xf numFmtId="0" fontId="17" fillId="18" borderId="7" xfId="0" applyFont="1" applyFill="1" applyBorder="1" applyAlignment="1">
      <alignment vertical="center"/>
    </xf>
    <xf numFmtId="0" fontId="17" fillId="18" borderId="1" xfId="0" applyFont="1" applyFill="1" applyBorder="1" applyAlignment="1">
      <alignment horizontal="left" vertical="center"/>
    </xf>
    <xf numFmtId="0" fontId="18" fillId="18" borderId="1" xfId="0" applyFont="1" applyFill="1" applyBorder="1" applyAlignment="1">
      <alignment horizontal="center" vertical="center"/>
    </xf>
    <xf numFmtId="3" fontId="18" fillId="18" borderId="1" xfId="0" applyNumberFormat="1" applyFont="1" applyFill="1" applyBorder="1" applyAlignment="1">
      <alignment horizontal="right" vertical="center"/>
    </xf>
    <xf numFmtId="164" fontId="18" fillId="18" borderId="32" xfId="20" applyNumberFormat="1" applyFont="1" applyFill="1" applyBorder="1" applyAlignment="1">
      <alignment horizontal="center" vertical="center"/>
    </xf>
    <xf numFmtId="164" fontId="18" fillId="18" borderId="31" xfId="20" applyNumberFormat="1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vertical="center"/>
    </xf>
    <xf numFmtId="0" fontId="17" fillId="3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center" vertical="center"/>
    </xf>
    <xf numFmtId="3" fontId="18" fillId="3" borderId="1" xfId="0" applyNumberFormat="1" applyFont="1" applyFill="1" applyBorder="1" applyAlignment="1">
      <alignment horizontal="right" vertical="center"/>
    </xf>
    <xf numFmtId="164" fontId="18" fillId="3" borderId="32" xfId="20" applyNumberFormat="1" applyFont="1" applyFill="1" applyBorder="1" applyAlignment="1">
      <alignment horizontal="center" vertical="center"/>
    </xf>
    <xf numFmtId="164" fontId="18" fillId="3" borderId="31" xfId="20" applyNumberFormat="1" applyFont="1" applyFill="1" applyBorder="1" applyAlignment="1">
      <alignment horizontal="center" vertical="center"/>
    </xf>
    <xf numFmtId="164" fontId="22" fillId="0" borderId="0" xfId="20" applyNumberFormat="1" applyFont="1" applyAlignment="1">
      <alignment horizontal="center"/>
    </xf>
    <xf numFmtId="0" fontId="41" fillId="0" borderId="75" xfId="21" applyFont="1" applyBorder="1" applyAlignment="1">
      <alignment vertical="center"/>
    </xf>
    <xf numFmtId="0" fontId="41" fillId="0" borderId="75" xfId="21" applyFont="1" applyBorder="1" applyAlignment="1">
      <alignment horizontal="center" vertical="center"/>
    </xf>
    <xf numFmtId="0" fontId="22" fillId="0" borderId="0" xfId="0" quotePrefix="1" applyFont="1" applyAlignment="1">
      <alignment horizontal="right"/>
    </xf>
    <xf numFmtId="3" fontId="22" fillId="0" borderId="0" xfId="20" applyNumberFormat="1" applyFont="1" applyAlignment="1">
      <alignment horizontal="center"/>
    </xf>
    <xf numFmtId="3" fontId="22" fillId="0" borderId="0" xfId="22" applyNumberFormat="1" applyFont="1" applyAlignment="1">
      <alignment horizontal="center"/>
    </xf>
    <xf numFmtId="0" fontId="22" fillId="0" borderId="0" xfId="0" applyFont="1"/>
    <xf numFmtId="43" fontId="0" fillId="0" borderId="0" xfId="2" applyFont="1"/>
    <xf numFmtId="17" fontId="2" fillId="0" borderId="0" xfId="0" applyNumberFormat="1" applyFont="1"/>
    <xf numFmtId="3" fontId="41" fillId="0" borderId="35" xfId="1" applyNumberFormat="1" applyFont="1" applyFill="1" applyBorder="1" applyAlignment="1">
      <alignment horizontal="right" vertical="center"/>
    </xf>
    <xf numFmtId="10" fontId="0" fillId="0" borderId="0" xfId="1" applyNumberFormat="1" applyFont="1"/>
    <xf numFmtId="10" fontId="41" fillId="0" borderId="35" xfId="1" applyNumberFormat="1" applyFont="1" applyFill="1" applyBorder="1" applyAlignment="1">
      <alignment horizontal="center" vertical="center"/>
    </xf>
    <xf numFmtId="164" fontId="40" fillId="0" borderId="0" xfId="2" applyNumberFormat="1" applyFont="1"/>
    <xf numFmtId="4" fontId="8" fillId="0" borderId="35" xfId="1" applyNumberFormat="1" applyFont="1" applyFill="1" applyBorder="1" applyAlignment="1">
      <alignment horizontal="right" vertical="center"/>
    </xf>
    <xf numFmtId="3" fontId="41" fillId="0" borderId="35" xfId="1" applyNumberFormat="1" applyFont="1" applyFill="1" applyBorder="1" applyAlignment="1">
      <alignment horizontal="center" vertical="center"/>
    </xf>
    <xf numFmtId="3" fontId="8" fillId="0" borderId="35" xfId="1" applyNumberFormat="1" applyFont="1" applyFill="1" applyBorder="1" applyAlignment="1">
      <alignment horizontal="left" vertical="center" indent="1"/>
    </xf>
    <xf numFmtId="3" fontId="8" fillId="0" borderId="35" xfId="1" applyNumberFormat="1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10" fontId="8" fillId="0" borderId="35" xfId="1" applyNumberFormat="1" applyFont="1" applyFill="1" applyBorder="1" applyAlignment="1">
      <alignment horizontal="left" vertical="center"/>
    </xf>
    <xf numFmtId="10" fontId="8" fillId="0" borderId="0" xfId="1" applyNumberFormat="1" applyFont="1" applyFill="1" applyBorder="1" applyAlignment="1">
      <alignment horizontal="left" vertical="center"/>
    </xf>
    <xf numFmtId="10" fontId="41" fillId="0" borderId="35" xfId="1" applyNumberFormat="1" applyFont="1" applyFill="1" applyBorder="1" applyAlignment="1">
      <alignment horizontal="right" vertical="center"/>
    </xf>
    <xf numFmtId="3" fontId="41" fillId="7" borderId="35" xfId="1" applyNumberFormat="1" applyFont="1" applyFill="1" applyBorder="1" applyAlignment="1">
      <alignment horizontal="right" vertical="center"/>
    </xf>
    <xf numFmtId="3" fontId="8" fillId="0" borderId="0" xfId="1" applyNumberFormat="1" applyFont="1" applyFill="1" applyBorder="1" applyAlignment="1">
      <alignment horizontal="right" vertical="center"/>
    </xf>
    <xf numFmtId="3" fontId="17" fillId="0" borderId="35" xfId="1" applyNumberFormat="1" applyFont="1" applyFill="1" applyBorder="1" applyAlignment="1">
      <alignment horizontal="center" vertical="center"/>
    </xf>
    <xf numFmtId="9" fontId="41" fillId="0" borderId="35" xfId="1" applyFont="1" applyFill="1" applyBorder="1" applyAlignment="1">
      <alignment horizontal="center" vertical="center"/>
    </xf>
    <xf numFmtId="3" fontId="17" fillId="3" borderId="35" xfId="1" applyNumberFormat="1" applyFont="1" applyFill="1" applyBorder="1" applyAlignment="1">
      <alignment horizontal="center" vertical="center"/>
    </xf>
    <xf numFmtId="175" fontId="8" fillId="0" borderId="35" xfId="1" applyNumberFormat="1" applyFont="1" applyFill="1" applyBorder="1" applyAlignment="1">
      <alignment horizontal="center" vertical="center"/>
    </xf>
    <xf numFmtId="1" fontId="47" fillId="6" borderId="35" xfId="1" applyNumberFormat="1" applyFont="1" applyFill="1" applyBorder="1" applyAlignment="1">
      <alignment horizontal="center" vertical="center" wrapText="1"/>
    </xf>
    <xf numFmtId="1" fontId="47" fillId="19" borderId="35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10" fontId="8" fillId="0" borderId="0" xfId="1" applyNumberFormat="1" applyFont="1" applyFill="1" applyBorder="1" applyAlignment="1">
      <alignment horizontal="right" vertical="center"/>
    </xf>
    <xf numFmtId="0" fontId="0" fillId="19" borderId="0" xfId="0" applyFill="1"/>
    <xf numFmtId="4" fontId="8" fillId="0" borderId="5" xfId="0" applyNumberFormat="1" applyFont="1" applyBorder="1"/>
    <xf numFmtId="3" fontId="41" fillId="11" borderId="35" xfId="1" applyNumberFormat="1" applyFont="1" applyFill="1" applyBorder="1" applyAlignment="1">
      <alignment horizontal="right" vertical="center"/>
    </xf>
    <xf numFmtId="170" fontId="41" fillId="11" borderId="35" xfId="1" applyNumberFormat="1" applyFont="1" applyFill="1" applyBorder="1" applyAlignment="1">
      <alignment horizontal="right" vertical="center"/>
    </xf>
    <xf numFmtId="4" fontId="41" fillId="11" borderId="35" xfId="1" applyNumberFormat="1" applyFont="1" applyFill="1" applyBorder="1" applyAlignment="1">
      <alignment horizontal="right" vertical="center"/>
    </xf>
    <xf numFmtId="0" fontId="5" fillId="6" borderId="35" xfId="1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left" vertical="center" wrapText="1"/>
    </xf>
    <xf numFmtId="0" fontId="31" fillId="0" borderId="35" xfId="0" applyFont="1" applyBorder="1" applyAlignment="1">
      <alignment horizontal="left" vertical="center" indent="2"/>
    </xf>
    <xf numFmtId="3" fontId="17" fillId="3" borderId="80" xfId="1" applyNumberFormat="1" applyFont="1" applyFill="1" applyBorder="1" applyAlignment="1">
      <alignment horizontal="center" vertical="center"/>
    </xf>
    <xf numFmtId="10" fontId="7" fillId="3" borderId="81" xfId="1" applyNumberFormat="1" applyFont="1" applyFill="1" applyBorder="1" applyAlignment="1">
      <alignment horizontal="center" vertical="center"/>
    </xf>
    <xf numFmtId="0" fontId="31" fillId="3" borderId="4" xfId="0" applyFont="1" applyFill="1" applyBorder="1"/>
    <xf numFmtId="3" fontId="41" fillId="3" borderId="82" xfId="1" applyNumberFormat="1" applyFont="1" applyFill="1" applyBorder="1" applyAlignment="1">
      <alignment horizontal="center" vertical="center"/>
    </xf>
    <xf numFmtId="0" fontId="7" fillId="3" borderId="83" xfId="0" applyFont="1" applyFill="1" applyBorder="1" applyAlignment="1">
      <alignment horizontal="center" vertical="center"/>
    </xf>
    <xf numFmtId="10" fontId="8" fillId="3" borderId="84" xfId="1" applyNumberFormat="1" applyFont="1" applyFill="1" applyBorder="1" applyAlignment="1">
      <alignment horizontal="center" vertical="center"/>
    </xf>
    <xf numFmtId="10" fontId="8" fillId="3" borderId="85" xfId="1" applyNumberFormat="1" applyFont="1" applyFill="1" applyBorder="1" applyAlignment="1">
      <alignment horizontal="center" vertical="center"/>
    </xf>
    <xf numFmtId="0" fontId="26" fillId="0" borderId="0" xfId="0" applyFont="1"/>
    <xf numFmtId="3" fontId="8" fillId="0" borderId="0" xfId="1" applyNumberFormat="1" applyFont="1" applyFill="1" applyBorder="1" applyAlignment="1">
      <alignment horizontal="center" vertical="center"/>
    </xf>
    <xf numFmtId="10" fontId="38" fillId="0" borderId="73" xfId="1" applyNumberFormat="1" applyFont="1" applyFill="1" applyBorder="1" applyAlignment="1">
      <alignment vertical="top" wrapText="1"/>
    </xf>
    <xf numFmtId="0" fontId="31" fillId="20" borderId="0" xfId="0" applyFont="1" applyFill="1" applyAlignment="1">
      <alignment vertical="center"/>
    </xf>
    <xf numFmtId="43" fontId="8" fillId="0" borderId="0" xfId="2" applyFont="1" applyFill="1" applyBorder="1" applyAlignment="1">
      <alignment horizontal="center" vertical="center"/>
    </xf>
    <xf numFmtId="164" fontId="8" fillId="0" borderId="0" xfId="2" applyNumberFormat="1" applyFont="1" applyFill="1" applyBorder="1" applyAlignment="1">
      <alignment horizontal="center" vertical="center"/>
    </xf>
    <xf numFmtId="4" fontId="48" fillId="0" borderId="35" xfId="1" applyNumberFormat="1" applyFont="1" applyFill="1" applyBorder="1" applyAlignment="1">
      <alignment horizontal="center" vertical="center"/>
    </xf>
    <xf numFmtId="3" fontId="26" fillId="0" borderId="36" xfId="0" applyNumberFormat="1" applyFont="1" applyBorder="1"/>
    <xf numFmtId="4" fontId="41" fillId="0" borderId="35" xfId="1" applyNumberFormat="1" applyFont="1" applyFill="1" applyBorder="1" applyAlignment="1">
      <alignment horizontal="center" vertical="center"/>
    </xf>
    <xf numFmtId="2" fontId="41" fillId="0" borderId="35" xfId="2" applyNumberFormat="1" applyFont="1" applyFill="1" applyBorder="1" applyAlignment="1">
      <alignment horizontal="center" vertical="center"/>
    </xf>
    <xf numFmtId="0" fontId="5" fillId="21" borderId="35" xfId="1" applyNumberFormat="1" applyFont="1" applyFill="1" applyBorder="1" applyAlignment="1">
      <alignment horizontal="center" vertical="center"/>
    </xf>
    <xf numFmtId="3" fontId="48" fillId="0" borderId="35" xfId="1" applyNumberFormat="1" applyFont="1" applyFill="1" applyBorder="1" applyAlignment="1">
      <alignment horizontal="center" vertical="center"/>
    </xf>
    <xf numFmtId="164" fontId="41" fillId="5" borderId="35" xfId="2" applyNumberFormat="1" applyFont="1" applyFill="1" applyBorder="1" applyAlignment="1">
      <alignment horizontal="right" vertical="center"/>
    </xf>
    <xf numFmtId="1" fontId="5" fillId="6" borderId="86" xfId="1" applyNumberFormat="1" applyFont="1" applyFill="1" applyBorder="1" applyAlignment="1">
      <alignment horizontal="center" vertical="center"/>
    </xf>
    <xf numFmtId="1" fontId="5" fillId="6" borderId="87" xfId="1" applyNumberFormat="1" applyFont="1" applyFill="1" applyBorder="1" applyAlignment="1">
      <alignment horizontal="center" vertical="center"/>
    </xf>
    <xf numFmtId="1" fontId="5" fillId="6" borderId="88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3" fontId="41" fillId="11" borderId="35" xfId="1" applyNumberFormat="1" applyFont="1" applyFill="1" applyBorder="1" applyAlignment="1">
      <alignment horizontal="center" vertical="center"/>
    </xf>
    <xf numFmtId="176" fontId="41" fillId="0" borderId="35" xfId="1" applyNumberFormat="1" applyFont="1" applyFill="1" applyBorder="1" applyAlignment="1">
      <alignment horizontal="center" vertical="center"/>
    </xf>
    <xf numFmtId="176" fontId="17" fillId="16" borderId="35" xfId="1" applyNumberFormat="1" applyFont="1" applyFill="1" applyBorder="1" applyAlignment="1">
      <alignment horizontal="center" vertical="center"/>
    </xf>
    <xf numFmtId="4" fontId="17" fillId="16" borderId="35" xfId="1" applyNumberFormat="1" applyFont="1" applyFill="1" applyBorder="1" applyAlignment="1">
      <alignment horizontal="center" vertical="center"/>
    </xf>
    <xf numFmtId="10" fontId="8" fillId="0" borderId="0" xfId="0" applyNumberFormat="1" applyFont="1"/>
    <xf numFmtId="3" fontId="41" fillId="0" borderId="35" xfId="1" applyNumberFormat="1" applyFont="1" applyFill="1" applyBorder="1" applyAlignment="1">
      <alignment vertical="center"/>
    </xf>
    <xf numFmtId="3" fontId="7" fillId="7" borderId="35" xfId="1" applyNumberFormat="1" applyFont="1" applyFill="1" applyBorder="1" applyAlignment="1">
      <alignment vertical="center"/>
    </xf>
    <xf numFmtId="167" fontId="8" fillId="0" borderId="35" xfId="1" applyNumberFormat="1" applyFont="1" applyFill="1" applyBorder="1" applyAlignment="1">
      <alignment horizontal="center" vertical="center"/>
    </xf>
    <xf numFmtId="0" fontId="40" fillId="0" borderId="36" xfId="0" applyFont="1" applyBorder="1" applyAlignment="1">
      <alignment vertical="top"/>
    </xf>
    <xf numFmtId="1" fontId="8" fillId="0" borderId="35" xfId="2" applyNumberFormat="1" applyFont="1" applyFill="1" applyBorder="1" applyAlignment="1">
      <alignment horizontal="center" vertical="center"/>
    </xf>
    <xf numFmtId="172" fontId="41" fillId="0" borderId="0" xfId="1" applyNumberFormat="1" applyFont="1" applyFill="1" applyBorder="1" applyAlignment="1">
      <alignment horizontal="right" vertical="center"/>
    </xf>
    <xf numFmtId="9" fontId="8" fillId="0" borderId="35" xfId="1" applyFont="1" applyFill="1" applyBorder="1" applyAlignment="1">
      <alignment horizontal="center" vertical="center"/>
    </xf>
    <xf numFmtId="164" fontId="2" fillId="0" borderId="0" xfId="2" applyNumberFormat="1" applyFont="1" applyAlignment="1"/>
    <xf numFmtId="0" fontId="1" fillId="0" borderId="0" xfId="0" applyFont="1" applyAlignment="1">
      <alignment vertical="top"/>
    </xf>
    <xf numFmtId="0" fontId="53" fillId="0" borderId="0" xfId="0" applyFont="1"/>
    <xf numFmtId="3" fontId="8" fillId="22" borderId="35" xfId="1" applyNumberFormat="1" applyFont="1" applyFill="1" applyBorder="1" applyAlignment="1">
      <alignment horizontal="right" vertical="center"/>
    </xf>
    <xf numFmtId="9" fontId="0" fillId="0" borderId="0" xfId="0" applyNumberFormat="1"/>
    <xf numFmtId="164" fontId="0" fillId="0" borderId="0" xfId="2" applyNumberFormat="1" applyFont="1"/>
    <xf numFmtId="10" fontId="0" fillId="2" borderId="0" xfId="0" applyNumberFormat="1" applyFill="1"/>
    <xf numFmtId="169" fontId="54" fillId="0" borderId="0" xfId="16" quotePrefix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/>
    </xf>
    <xf numFmtId="0" fontId="7" fillId="0" borderId="77" xfId="0" applyFont="1" applyBorder="1" applyAlignment="1">
      <alignment horizontal="center"/>
    </xf>
    <xf numFmtId="3" fontId="57" fillId="5" borderId="40" xfId="0" applyNumberFormat="1" applyFont="1" applyFill="1" applyBorder="1" applyAlignment="1">
      <alignment horizontal="center" vertical="center" wrapText="1"/>
    </xf>
    <xf numFmtId="3" fontId="57" fillId="5" borderId="41" xfId="0" applyNumberFormat="1" applyFont="1" applyFill="1" applyBorder="1" applyAlignment="1">
      <alignment horizontal="center" vertical="center" wrapText="1"/>
    </xf>
    <xf numFmtId="3" fontId="57" fillId="5" borderId="76" xfId="0" applyNumberFormat="1" applyFont="1" applyFill="1" applyBorder="1" applyAlignment="1">
      <alignment horizontal="center" vertical="center" wrapText="1"/>
    </xf>
    <xf numFmtId="0" fontId="58" fillId="5" borderId="42" xfId="0" applyFont="1" applyFill="1" applyBorder="1" applyAlignment="1">
      <alignment horizontal="center"/>
    </xf>
    <xf numFmtId="0" fontId="3" fillId="0" borderId="47" xfId="0" applyFont="1" applyBorder="1" applyAlignment="1">
      <alignment horizontal="left" indent="2"/>
    </xf>
    <xf numFmtId="0" fontId="2" fillId="0" borderId="91" xfId="0" applyFont="1" applyBorder="1" applyAlignment="1">
      <alignment horizontal="center"/>
    </xf>
    <xf numFmtId="0" fontId="2" fillId="0" borderId="92" xfId="0" applyFont="1" applyBorder="1" applyAlignment="1">
      <alignment horizontal="center"/>
    </xf>
    <xf numFmtId="0" fontId="2" fillId="0" borderId="93" xfId="0" applyFont="1" applyBorder="1" applyAlignment="1">
      <alignment horizontal="center"/>
    </xf>
    <xf numFmtId="0" fontId="2" fillId="0" borderId="47" xfId="0" applyFont="1" applyBorder="1" applyAlignment="1">
      <alignment horizontal="left" indent="4"/>
    </xf>
    <xf numFmtId="0" fontId="59" fillId="0" borderId="94" xfId="0" applyFont="1" applyBorder="1" applyAlignment="1">
      <alignment horizontal="center" wrapText="1"/>
    </xf>
    <xf numFmtId="0" fontId="59" fillId="0" borderId="95" xfId="0" applyFont="1" applyBorder="1" applyAlignment="1">
      <alignment horizontal="center" wrapText="1"/>
    </xf>
    <xf numFmtId="0" fontId="59" fillId="0" borderId="96" xfId="0" applyFont="1" applyBorder="1" applyAlignment="1">
      <alignment horizontal="center" wrapText="1"/>
    </xf>
    <xf numFmtId="0" fontId="59" fillId="0" borderId="97" xfId="0" applyFont="1" applyBorder="1" applyAlignment="1">
      <alignment horizontal="center" wrapText="1"/>
    </xf>
    <xf numFmtId="3" fontId="1" fillId="2" borderId="0" xfId="0" applyNumberFormat="1" applyFont="1" applyFill="1"/>
    <xf numFmtId="0" fontId="59" fillId="0" borderId="98" xfId="0" applyFont="1" applyBorder="1" applyAlignment="1">
      <alignment horizontal="center" wrapText="1"/>
    </xf>
    <xf numFmtId="0" fontId="59" fillId="0" borderId="3" xfId="0" applyFont="1" applyBorder="1" applyAlignment="1">
      <alignment horizontal="center" wrapText="1"/>
    </xf>
    <xf numFmtId="0" fontId="59" fillId="0" borderId="1" xfId="0" applyFont="1" applyBorder="1" applyAlignment="1">
      <alignment horizontal="center" wrapText="1"/>
    </xf>
    <xf numFmtId="0" fontId="59" fillId="0" borderId="99" xfId="0" applyFont="1" applyBorder="1" applyAlignment="1">
      <alignment horizontal="center" wrapText="1"/>
    </xf>
    <xf numFmtId="0" fontId="60" fillId="23" borderId="100" xfId="0" applyFont="1" applyFill="1" applyBorder="1" applyAlignment="1">
      <alignment horizontal="center" wrapText="1"/>
    </xf>
    <xf numFmtId="0" fontId="60" fillId="23" borderId="9" xfId="0" applyFont="1" applyFill="1" applyBorder="1" applyAlignment="1">
      <alignment horizontal="center" wrapText="1"/>
    </xf>
    <xf numFmtId="0" fontId="60" fillId="23" borderId="90" xfId="0" applyFont="1" applyFill="1" applyBorder="1" applyAlignment="1">
      <alignment horizontal="center" wrapText="1"/>
    </xf>
    <xf numFmtId="0" fontId="60" fillId="23" borderId="101" xfId="0" applyFont="1" applyFill="1" applyBorder="1" applyAlignment="1">
      <alignment horizontal="center" wrapText="1"/>
    </xf>
    <xf numFmtId="0" fontId="2" fillId="0" borderId="79" xfId="0" applyFont="1" applyBorder="1" applyAlignment="1">
      <alignment horizontal="center"/>
    </xf>
    <xf numFmtId="0" fontId="2" fillId="0" borderId="7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" fillId="5" borderId="49" xfId="0" applyFont="1" applyFill="1" applyBorder="1" applyAlignment="1">
      <alignment horizontal="left" indent="2"/>
    </xf>
    <xf numFmtId="0" fontId="2" fillId="0" borderId="102" xfId="0" applyFont="1" applyBorder="1" applyAlignment="1">
      <alignment horizontal="center"/>
    </xf>
    <xf numFmtId="0" fontId="2" fillId="0" borderId="103" xfId="0" applyFont="1" applyBorder="1" applyAlignment="1">
      <alignment horizontal="center"/>
    </xf>
    <xf numFmtId="0" fontId="2" fillId="0" borderId="104" xfId="0" applyFont="1" applyBorder="1" applyAlignment="1">
      <alignment horizontal="center"/>
    </xf>
    <xf numFmtId="9" fontId="41" fillId="0" borderId="35" xfId="1" applyFont="1" applyFill="1" applyBorder="1" applyAlignment="1">
      <alignment vertical="center"/>
    </xf>
    <xf numFmtId="0" fontId="1" fillId="5" borderId="0" xfId="0" applyFont="1" applyFill="1" applyAlignment="1">
      <alignment horizontal="center"/>
    </xf>
    <xf numFmtId="0" fontId="56" fillId="0" borderId="0" xfId="0" applyFont="1" applyAlignment="1">
      <alignment horizontal="left" indent="1"/>
    </xf>
    <xf numFmtId="0" fontId="7" fillId="0" borderId="0" xfId="0" applyFont="1"/>
    <xf numFmtId="0" fontId="0" fillId="0" borderId="105" xfId="0" applyBorder="1"/>
    <xf numFmtId="0" fontId="31" fillId="0" borderId="0" xfId="0" applyFont="1" applyAlignment="1">
      <alignment vertical="center"/>
    </xf>
    <xf numFmtId="3" fontId="7" fillId="0" borderId="35" xfId="1" applyNumberFormat="1" applyFont="1" applyFill="1" applyBorder="1" applyAlignment="1">
      <alignment horizontal="left" vertical="center" indent="1"/>
    </xf>
    <xf numFmtId="179" fontId="1" fillId="24" borderId="71" xfId="0" applyNumberFormat="1" applyFont="1" applyFill="1" applyBorder="1"/>
    <xf numFmtId="0" fontId="2" fillId="0" borderId="0" xfId="0" applyFont="1" applyAlignment="1">
      <alignment vertical="top" wrapText="1"/>
    </xf>
    <xf numFmtId="0" fontId="2" fillId="0" borderId="36" xfId="0" applyFont="1" applyBorder="1" applyAlignment="1">
      <alignment vertical="top"/>
    </xf>
    <xf numFmtId="0" fontId="2" fillId="0" borderId="0" xfId="0" applyFont="1" applyAlignment="1">
      <alignment vertical="top"/>
    </xf>
    <xf numFmtId="3" fontId="8" fillId="11" borderId="35" xfId="1" applyNumberFormat="1" applyFont="1" applyFill="1" applyBorder="1" applyAlignment="1">
      <alignment horizontal="center" vertical="center"/>
    </xf>
    <xf numFmtId="0" fontId="61" fillId="0" borderId="0" xfId="0" applyFont="1"/>
    <xf numFmtId="3" fontId="4" fillId="0" borderId="0" xfId="42" applyNumberFormat="1" applyFont="1" applyFill="1" applyBorder="1" applyAlignment="1" applyProtection="1">
      <alignment horizontal="center" vertical="center"/>
      <protection locked="0"/>
    </xf>
    <xf numFmtId="0" fontId="4" fillId="0" borderId="0" xfId="42" applyNumberFormat="1" applyFont="1" applyFill="1" applyBorder="1" applyAlignment="1" applyProtection="1">
      <alignment horizontal="center" vertical="center"/>
      <protection locked="0"/>
    </xf>
    <xf numFmtId="0" fontId="62" fillId="0" borderId="0" xfId="0" applyFont="1"/>
    <xf numFmtId="0" fontId="20" fillId="0" borderId="0" xfId="0" applyFont="1"/>
    <xf numFmtId="0" fontId="9" fillId="0" borderId="0" xfId="0" applyFont="1"/>
    <xf numFmtId="3" fontId="18" fillId="0" borderId="0" xfId="42" applyNumberFormat="1" applyFont="1" applyFill="1" applyBorder="1" applyAlignment="1" applyProtection="1">
      <alignment horizontal="center" vertical="center"/>
      <protection locked="0"/>
    </xf>
    <xf numFmtId="0" fontId="18" fillId="0" borderId="0" xfId="42" applyNumberFormat="1" applyFont="1" applyFill="1" applyBorder="1" applyAlignment="1" applyProtection="1">
      <alignment horizontal="center" vertical="center"/>
      <protection locked="0"/>
    </xf>
    <xf numFmtId="0" fontId="14" fillId="0" borderId="75" xfId="0" applyFont="1" applyBorder="1" applyAlignment="1" applyProtection="1">
      <alignment vertical="center"/>
      <protection locked="0"/>
    </xf>
    <xf numFmtId="0" fontId="14" fillId="0" borderId="75" xfId="0" applyFont="1" applyBorder="1" applyAlignment="1">
      <alignment vertical="center"/>
    </xf>
    <xf numFmtId="0" fontId="14" fillId="0" borderId="75" xfId="0" applyFont="1" applyBorder="1" applyAlignment="1">
      <alignment vertical="center" wrapText="1"/>
    </xf>
    <xf numFmtId="166" fontId="30" fillId="0" borderId="107" xfId="1" applyNumberFormat="1" applyFont="1" applyFill="1" applyBorder="1" applyAlignment="1" applyProtection="1">
      <alignment horizontal="center" vertical="center"/>
      <protection locked="0"/>
    </xf>
    <xf numFmtId="166" fontId="30" fillId="0" borderId="108" xfId="1" applyNumberFormat="1" applyFont="1" applyFill="1" applyBorder="1" applyAlignment="1" applyProtection="1">
      <alignment horizontal="center" vertical="center"/>
      <protection locked="0"/>
    </xf>
    <xf numFmtId="166" fontId="30" fillId="0" borderId="109" xfId="1" applyNumberFormat="1" applyFont="1" applyFill="1" applyBorder="1" applyAlignment="1" applyProtection="1">
      <alignment horizontal="center" vertical="center"/>
      <protection locked="0"/>
    </xf>
    <xf numFmtId="0" fontId="30" fillId="0" borderId="109" xfId="1" applyNumberFormat="1" applyFont="1" applyFill="1" applyBorder="1" applyAlignment="1" applyProtection="1">
      <alignment horizontal="center" vertical="center"/>
      <protection locked="0"/>
    </xf>
    <xf numFmtId="3" fontId="19" fillId="0" borderId="30" xfId="0" applyNumberFormat="1" applyFont="1" applyBorder="1" applyAlignment="1">
      <alignment horizontal="center" vertical="center"/>
    </xf>
    <xf numFmtId="0" fontId="14" fillId="0" borderId="51" xfId="0" applyFont="1" applyBorder="1" applyAlignment="1">
      <alignment vertical="center"/>
    </xf>
    <xf numFmtId="10" fontId="15" fillId="0" borderId="7" xfId="1" applyNumberFormat="1" applyFont="1" applyFill="1" applyBorder="1" applyAlignment="1" applyProtection="1">
      <alignment vertical="center"/>
    </xf>
    <xf numFmtId="178" fontId="19" fillId="0" borderId="57" xfId="0" applyNumberFormat="1" applyFont="1" applyBorder="1" applyAlignment="1" applyProtection="1">
      <alignment horizontal="center" vertical="center"/>
      <protection locked="0"/>
    </xf>
    <xf numFmtId="3" fontId="19" fillId="0" borderId="33" xfId="42" applyNumberFormat="1" applyFont="1" applyFill="1" applyBorder="1" applyAlignment="1" applyProtection="1">
      <alignment horizontal="center" vertical="center"/>
    </xf>
    <xf numFmtId="0" fontId="19" fillId="0" borderId="111" xfId="0" applyFont="1" applyBorder="1" applyAlignment="1">
      <alignment horizontal="right" vertical="center"/>
    </xf>
    <xf numFmtId="178" fontId="19" fillId="0" borderId="112" xfId="0" applyNumberFormat="1" applyFont="1" applyBorder="1" applyAlignment="1" applyProtection="1">
      <alignment horizontal="center" vertical="center"/>
      <protection locked="0"/>
    </xf>
    <xf numFmtId="178" fontId="30" fillId="0" borderId="31" xfId="0" applyNumberFormat="1" applyFont="1" applyBorder="1" applyAlignment="1">
      <alignment horizontal="center" vertical="center"/>
    </xf>
    <xf numFmtId="3" fontId="30" fillId="0" borderId="51" xfId="42" applyNumberFormat="1" applyFont="1" applyFill="1" applyBorder="1" applyAlignment="1" applyProtection="1">
      <alignment horizontal="center" vertical="center"/>
    </xf>
    <xf numFmtId="166" fontId="19" fillId="0" borderId="112" xfId="1" applyNumberFormat="1" applyFont="1" applyFill="1" applyBorder="1" applyAlignment="1" applyProtection="1">
      <alignment horizontal="center" vertical="center"/>
      <protection locked="0"/>
    </xf>
    <xf numFmtId="3" fontId="19" fillId="0" borderId="27" xfId="0" applyNumberFormat="1" applyFont="1" applyBorder="1" applyAlignment="1">
      <alignment horizontal="center" vertical="center"/>
    </xf>
    <xf numFmtId="0" fontId="19" fillId="0" borderId="114" xfId="0" applyFont="1" applyBorder="1" applyAlignment="1">
      <alignment horizontal="right" vertical="center"/>
    </xf>
    <xf numFmtId="3" fontId="19" fillId="0" borderId="26" xfId="0" applyNumberFormat="1" applyFont="1" applyBorder="1" applyAlignment="1">
      <alignment horizontal="center" vertical="center"/>
    </xf>
    <xf numFmtId="3" fontId="19" fillId="0" borderId="25" xfId="0" applyNumberFormat="1" applyFont="1" applyBorder="1" applyAlignment="1">
      <alignment horizontal="center" vertical="center"/>
    </xf>
    <xf numFmtId="0" fontId="19" fillId="0" borderId="115" xfId="0" applyFont="1" applyBorder="1" applyAlignment="1">
      <alignment horizontal="right" vertical="center"/>
    </xf>
    <xf numFmtId="166" fontId="30" fillId="0" borderId="31" xfId="1" quotePrefix="1" applyNumberFormat="1" applyFont="1" applyFill="1" applyBorder="1" applyAlignment="1" applyProtection="1">
      <alignment horizontal="center" vertical="center"/>
    </xf>
    <xf numFmtId="166" fontId="30" fillId="0" borderId="32" xfId="1" applyNumberFormat="1" applyFont="1" applyFill="1" applyBorder="1" applyAlignment="1" applyProtection="1">
      <alignment horizontal="center" vertical="center"/>
    </xf>
    <xf numFmtId="166" fontId="30" fillId="0" borderId="30" xfId="1" applyNumberFormat="1" applyFont="1" applyFill="1" applyBorder="1" applyAlignment="1" applyProtection="1">
      <alignment horizontal="center" vertical="center"/>
    </xf>
    <xf numFmtId="0" fontId="30" fillId="0" borderId="30" xfId="1" applyNumberFormat="1" applyFont="1" applyFill="1" applyBorder="1" applyAlignment="1" applyProtection="1">
      <alignment horizontal="center" vertical="center"/>
    </xf>
    <xf numFmtId="3" fontId="30" fillId="0" borderId="30" xfId="0" applyNumberFormat="1" applyFont="1" applyBorder="1" applyAlignment="1">
      <alignment horizontal="center" vertical="center"/>
    </xf>
    <xf numFmtId="10" fontId="22" fillId="0" borderId="0" xfId="0" applyNumberFormat="1" applyFont="1"/>
    <xf numFmtId="180" fontId="22" fillId="0" borderId="0" xfId="42" applyFont="1" applyFill="1"/>
    <xf numFmtId="0" fontId="19" fillId="0" borderId="112" xfId="1" applyNumberFormat="1" applyFont="1" applyFill="1" applyBorder="1" applyAlignment="1" applyProtection="1">
      <alignment horizontal="center" vertical="center"/>
      <protection locked="0"/>
    </xf>
    <xf numFmtId="0" fontId="15" fillId="0" borderId="6" xfId="0" applyFont="1" applyBorder="1" applyAlignment="1">
      <alignment vertical="center"/>
    </xf>
    <xf numFmtId="0" fontId="30" fillId="0" borderId="90" xfId="0" applyFont="1" applyBorder="1" applyAlignment="1">
      <alignment vertical="center"/>
    </xf>
    <xf numFmtId="0" fontId="15" fillId="0" borderId="90" xfId="0" applyFont="1" applyBorder="1" applyAlignment="1">
      <alignment vertical="center"/>
    </xf>
    <xf numFmtId="0" fontId="13" fillId="0" borderId="90" xfId="0" applyFont="1" applyBorder="1" applyAlignment="1">
      <alignment vertical="center"/>
    </xf>
    <xf numFmtId="0" fontId="13" fillId="0" borderId="21" xfId="0" applyFont="1" applyBorder="1" applyAlignment="1">
      <alignment horizontal="center" vertical="center" wrapText="1"/>
    </xf>
    <xf numFmtId="0" fontId="14" fillId="8" borderId="18" xfId="0" applyFont="1" applyFill="1" applyBorder="1" applyAlignment="1">
      <alignment vertical="center"/>
    </xf>
    <xf numFmtId="0" fontId="14" fillId="8" borderId="17" xfId="0" applyFont="1" applyFill="1" applyBorder="1" applyAlignment="1">
      <alignment vertical="center"/>
    </xf>
    <xf numFmtId="0" fontId="13" fillId="8" borderId="16" xfId="0" applyFont="1" applyFill="1" applyBorder="1" applyAlignment="1">
      <alignment horizontal="left" vertical="center"/>
    </xf>
    <xf numFmtId="0" fontId="14" fillId="8" borderId="15" xfId="0" applyFont="1" applyFill="1" applyBorder="1" applyAlignment="1">
      <alignment vertical="center"/>
    </xf>
    <xf numFmtId="0" fontId="14" fillId="8" borderId="0" xfId="0" applyFont="1" applyFill="1" applyAlignment="1">
      <alignment vertical="center"/>
    </xf>
    <xf numFmtId="0" fontId="13" fillId="8" borderId="0" xfId="0" applyFont="1" applyFill="1" applyAlignment="1">
      <alignment vertical="center"/>
    </xf>
    <xf numFmtId="4" fontId="13" fillId="8" borderId="14" xfId="0" applyNumberFormat="1" applyFont="1" applyFill="1" applyBorder="1" applyAlignment="1">
      <alignment horizontal="left" vertical="center"/>
    </xf>
    <xf numFmtId="0" fontId="14" fillId="8" borderId="13" xfId="0" applyFont="1" applyFill="1" applyBorder="1" applyAlignment="1">
      <alignment vertical="center"/>
    </xf>
    <xf numFmtId="0" fontId="14" fillId="8" borderId="12" xfId="0" applyFont="1" applyFill="1" applyBorder="1" applyAlignment="1">
      <alignment vertical="center"/>
    </xf>
    <xf numFmtId="0" fontId="13" fillId="8" borderId="12" xfId="0" applyFont="1" applyFill="1" applyBorder="1" applyAlignment="1">
      <alignment vertical="center"/>
    </xf>
    <xf numFmtId="0" fontId="13" fillId="8" borderId="11" xfId="0" applyFont="1" applyFill="1" applyBorder="1" applyAlignment="1">
      <alignment horizontal="left" vertical="center"/>
    </xf>
    <xf numFmtId="181" fontId="19" fillId="0" borderId="2" xfId="0" applyNumberFormat="1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3" fontId="19" fillId="0" borderId="2" xfId="42" applyNumberFormat="1" applyFont="1" applyFill="1" applyBorder="1" applyAlignment="1" applyProtection="1">
      <alignment horizontal="center" vertical="center"/>
    </xf>
    <xf numFmtId="0" fontId="14" fillId="0" borderId="2" xfId="0" applyFont="1" applyBorder="1" applyAlignment="1">
      <alignment vertical="center"/>
    </xf>
    <xf numFmtId="0" fontId="14" fillId="0" borderId="2" xfId="0" applyFont="1" applyBorder="1" applyAlignment="1">
      <alignment horizontal="right" vertical="center"/>
    </xf>
    <xf numFmtId="0" fontId="19" fillId="0" borderId="112" xfId="0" applyFont="1" applyBorder="1" applyAlignment="1" applyProtection="1">
      <alignment horizontal="center" vertical="center"/>
      <protection locked="0"/>
    </xf>
    <xf numFmtId="181" fontId="13" fillId="0" borderId="90" xfId="0" applyNumberFormat="1" applyFont="1" applyBorder="1" applyAlignment="1">
      <alignment vertical="center"/>
    </xf>
    <xf numFmtId="2" fontId="41" fillId="0" borderId="0" xfId="2" applyNumberFormat="1" applyFont="1" applyFill="1" applyBorder="1" applyAlignment="1">
      <alignment horizontal="center" vertical="center"/>
    </xf>
    <xf numFmtId="3" fontId="38" fillId="0" borderId="35" xfId="1" applyNumberFormat="1" applyFont="1" applyFill="1" applyBorder="1" applyAlignment="1">
      <alignment horizontal="center" vertical="center"/>
    </xf>
    <xf numFmtId="1" fontId="55" fillId="6" borderId="35" xfId="1" applyNumberFormat="1" applyFont="1" applyFill="1" applyBorder="1" applyAlignment="1">
      <alignment horizontal="center" vertical="center"/>
    </xf>
    <xf numFmtId="49" fontId="1" fillId="5" borderId="35" xfId="1" applyNumberFormat="1" applyFont="1" applyFill="1" applyBorder="1" applyAlignment="1">
      <alignment horizontal="left" vertical="center" indent="1"/>
    </xf>
    <xf numFmtId="182" fontId="22" fillId="5" borderId="35" xfId="2" applyNumberFormat="1" applyFont="1" applyFill="1" applyBorder="1" applyAlignment="1">
      <alignment horizontal="right" vertical="center"/>
    </xf>
    <xf numFmtId="49" fontId="6" fillId="0" borderId="35" xfId="1" applyNumberFormat="1" applyFont="1" applyFill="1" applyBorder="1" applyAlignment="1">
      <alignment horizontal="left" vertical="center" indent="2"/>
    </xf>
    <xf numFmtId="182" fontId="22" fillId="0" borderId="35" xfId="2" applyNumberFormat="1" applyFont="1" applyFill="1" applyBorder="1" applyAlignment="1">
      <alignment horizontal="right" vertical="center"/>
    </xf>
    <xf numFmtId="49" fontId="1" fillId="0" borderId="35" xfId="1" applyNumberFormat="1" applyFont="1" applyFill="1" applyBorder="1" applyAlignment="1">
      <alignment horizontal="left" vertical="center" indent="1"/>
    </xf>
    <xf numFmtId="3" fontId="22" fillId="0" borderId="35" xfId="2" applyNumberFormat="1" applyFont="1" applyFill="1" applyBorder="1" applyAlignment="1">
      <alignment horizontal="right" vertical="center"/>
    </xf>
    <xf numFmtId="3" fontId="6" fillId="0" borderId="35" xfId="2" applyNumberFormat="1" applyFont="1" applyFill="1" applyBorder="1" applyAlignment="1">
      <alignment horizontal="right" vertical="center"/>
    </xf>
    <xf numFmtId="3" fontId="1" fillId="0" borderId="0" xfId="1" applyNumberFormat="1" applyFont="1" applyFill="1" applyBorder="1" applyAlignment="1">
      <alignment horizontal="right" vertical="center"/>
    </xf>
    <xf numFmtId="10" fontId="1" fillId="0" borderId="0" xfId="1" applyNumberFormat="1" applyFont="1" applyFill="1" applyBorder="1" applyAlignment="1">
      <alignment horizontal="left" vertical="center" indent="1"/>
    </xf>
    <xf numFmtId="0" fontId="6" fillId="0" borderId="0" xfId="0" applyFont="1"/>
    <xf numFmtId="0" fontId="67" fillId="0" borderId="0" xfId="16" quotePrefix="1" applyFont="1" applyFill="1" applyBorder="1" applyAlignment="1">
      <alignment vertical="center"/>
    </xf>
    <xf numFmtId="1" fontId="55" fillId="6" borderId="35" xfId="1" applyNumberFormat="1" applyFont="1" applyFill="1" applyBorder="1" applyAlignment="1">
      <alignment horizontal="left" vertical="center" indent="1"/>
    </xf>
    <xf numFmtId="4" fontId="1" fillId="0" borderId="35" xfId="1" applyNumberFormat="1" applyFont="1" applyFill="1" applyBorder="1" applyAlignment="1">
      <alignment horizontal="right" vertical="center"/>
    </xf>
    <xf numFmtId="3" fontId="1" fillId="0" borderId="35" xfId="1" applyNumberFormat="1" applyFont="1" applyFill="1" applyBorder="1" applyAlignment="1">
      <alignment horizontal="right" vertical="center"/>
    </xf>
    <xf numFmtId="4" fontId="1" fillId="0" borderId="0" xfId="1" applyNumberFormat="1" applyFont="1" applyFill="1" applyBorder="1" applyAlignment="1">
      <alignment horizontal="left" vertical="center" indent="1"/>
    </xf>
    <xf numFmtId="0" fontId="68" fillId="0" borderId="0" xfId="0" applyFont="1"/>
    <xf numFmtId="3" fontId="6" fillId="0" borderId="0" xfId="0" applyNumberFormat="1" applyFont="1"/>
    <xf numFmtId="169" fontId="67" fillId="0" borderId="0" xfId="16" quotePrefix="1" applyNumberFormat="1" applyFont="1" applyFill="1" applyBorder="1" applyAlignment="1">
      <alignment horizontal="center" vertical="center"/>
    </xf>
    <xf numFmtId="4" fontId="9" fillId="0" borderId="35" xfId="1" applyNumberFormat="1" applyFont="1" applyFill="1" applyBorder="1" applyAlignment="1">
      <alignment horizontal="right" vertical="center"/>
    </xf>
    <xf numFmtId="10" fontId="68" fillId="0" borderId="0" xfId="16" quotePrefix="1" applyNumberFormat="1" applyFont="1" applyFill="1" applyBorder="1" applyAlignment="1">
      <alignment horizontal="center" vertical="center"/>
    </xf>
    <xf numFmtId="169" fontId="69" fillId="0" borderId="0" xfId="16" quotePrefix="1" applyNumberFormat="1" applyFont="1" applyFill="1" applyBorder="1" applyAlignment="1">
      <alignment horizontal="center" vertical="center"/>
    </xf>
    <xf numFmtId="169" fontId="68" fillId="0" borderId="0" xfId="16" quotePrefix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164" fontId="71" fillId="14" borderId="71" xfId="0" applyNumberFormat="1" applyFont="1" applyFill="1" applyBorder="1"/>
    <xf numFmtId="164" fontId="70" fillId="0" borderId="0" xfId="0" applyNumberFormat="1" applyFont="1"/>
    <xf numFmtId="9" fontId="15" fillId="0" borderId="0" xfId="1" applyFont="1" applyAlignment="1">
      <alignment horizontal="center" vertical="center"/>
    </xf>
    <xf numFmtId="10" fontId="41" fillId="7" borderId="35" xfId="1" applyNumberFormat="1" applyFont="1" applyFill="1" applyBorder="1" applyAlignment="1">
      <alignment horizontal="right" vertical="center"/>
    </xf>
    <xf numFmtId="172" fontId="41" fillId="7" borderId="35" xfId="1" applyNumberFormat="1" applyFont="1" applyFill="1" applyBorder="1" applyAlignment="1">
      <alignment horizontal="right" vertical="center"/>
    </xf>
    <xf numFmtId="3" fontId="8" fillId="7" borderId="35" xfId="1" applyNumberFormat="1" applyFont="1" applyFill="1" applyBorder="1" applyAlignment="1">
      <alignment horizontal="center" vertical="center"/>
    </xf>
    <xf numFmtId="3" fontId="41" fillId="7" borderId="35" xfId="1" applyNumberFormat="1" applyFont="1" applyFill="1" applyBorder="1" applyAlignment="1">
      <alignment horizontal="center" vertical="center"/>
    </xf>
    <xf numFmtId="4" fontId="8" fillId="7" borderId="35" xfId="1" applyNumberFormat="1" applyFont="1" applyFill="1" applyBorder="1" applyAlignment="1">
      <alignment horizontal="center" vertical="center"/>
    </xf>
    <xf numFmtId="9" fontId="41" fillId="7" borderId="35" xfId="1" applyFont="1" applyFill="1" applyBorder="1" applyAlignment="1">
      <alignment horizontal="center" vertical="center"/>
    </xf>
    <xf numFmtId="4" fontId="17" fillId="7" borderId="35" xfId="1" applyNumberFormat="1" applyFont="1" applyFill="1" applyBorder="1" applyAlignment="1">
      <alignment horizontal="center" vertical="center"/>
    </xf>
    <xf numFmtId="0" fontId="19" fillId="7" borderId="54" xfId="1" applyNumberFormat="1" applyFont="1" applyFill="1" applyBorder="1" applyAlignment="1" applyProtection="1">
      <alignment horizontal="center" vertical="center"/>
      <protection locked="0"/>
    </xf>
    <xf numFmtId="0" fontId="19" fillId="7" borderId="113" xfId="1" applyNumberFormat="1" applyFont="1" applyFill="1" applyBorder="1" applyAlignment="1" applyProtection="1">
      <alignment horizontal="center" vertical="center"/>
      <protection locked="0"/>
    </xf>
    <xf numFmtId="0" fontId="30" fillId="7" borderId="30" xfId="1" applyNumberFormat="1" applyFont="1" applyFill="1" applyBorder="1" applyAlignment="1" applyProtection="1">
      <alignment horizontal="center" vertical="center"/>
    </xf>
    <xf numFmtId="166" fontId="30" fillId="7" borderId="30" xfId="1" applyNumberFormat="1" applyFont="1" applyFill="1" applyBorder="1" applyAlignment="1" applyProtection="1">
      <alignment horizontal="center" vertical="center"/>
    </xf>
    <xf numFmtId="166" fontId="30" fillId="7" borderId="32" xfId="1" applyNumberFormat="1" applyFont="1" applyFill="1" applyBorder="1" applyAlignment="1" applyProtection="1">
      <alignment horizontal="center" vertical="center"/>
    </xf>
    <xf numFmtId="166" fontId="19" fillId="7" borderId="54" xfId="1" applyNumberFormat="1" applyFont="1" applyFill="1" applyBorder="1" applyAlignment="1" applyProtection="1">
      <alignment horizontal="center" vertical="center"/>
      <protection locked="0"/>
    </xf>
    <xf numFmtId="166" fontId="19" fillId="7" borderId="113" xfId="1" applyNumberFormat="1" applyFont="1" applyFill="1" applyBorder="1" applyAlignment="1" applyProtection="1">
      <alignment horizontal="center" vertical="center"/>
      <protection locked="0"/>
    </xf>
    <xf numFmtId="0" fontId="30" fillId="7" borderId="30" xfId="0" applyFont="1" applyFill="1" applyBorder="1" applyAlignment="1">
      <alignment horizontal="center" vertical="center"/>
    </xf>
    <xf numFmtId="178" fontId="30" fillId="7" borderId="30" xfId="0" applyNumberFormat="1" applyFont="1" applyFill="1" applyBorder="1" applyAlignment="1">
      <alignment horizontal="center" vertical="center"/>
    </xf>
    <xf numFmtId="178" fontId="30" fillId="7" borderId="32" xfId="0" applyNumberFormat="1" applyFont="1" applyFill="1" applyBorder="1" applyAlignment="1">
      <alignment horizontal="center" vertical="center"/>
    </xf>
    <xf numFmtId="181" fontId="19" fillId="7" borderId="54" xfId="0" applyNumberFormat="1" applyFont="1" applyFill="1" applyBorder="1" applyAlignment="1" applyProtection="1">
      <alignment horizontal="center" vertical="center"/>
      <protection locked="0"/>
    </xf>
    <xf numFmtId="181" fontId="19" fillId="7" borderId="113" xfId="0" applyNumberFormat="1" applyFont="1" applyFill="1" applyBorder="1" applyAlignment="1" applyProtection="1">
      <alignment horizontal="center" vertical="center"/>
      <protection locked="0"/>
    </xf>
    <xf numFmtId="0" fontId="19" fillId="7" borderId="54" xfId="0" applyFont="1" applyFill="1" applyBorder="1" applyAlignment="1" applyProtection="1">
      <alignment horizontal="center" vertical="center"/>
      <protection locked="0"/>
    </xf>
    <xf numFmtId="178" fontId="19" fillId="7" borderId="54" xfId="0" applyNumberFormat="1" applyFont="1" applyFill="1" applyBorder="1" applyAlignment="1" applyProtection="1">
      <alignment horizontal="center" vertical="center"/>
      <protection locked="0"/>
    </xf>
    <xf numFmtId="178" fontId="19" fillId="7" borderId="113" xfId="0" applyNumberFormat="1" applyFont="1" applyFill="1" applyBorder="1" applyAlignment="1" applyProtection="1">
      <alignment horizontal="center" vertical="center"/>
      <protection locked="0"/>
    </xf>
    <xf numFmtId="3" fontId="19" fillId="7" borderId="54" xfId="0" applyNumberFormat="1" applyFont="1" applyFill="1" applyBorder="1" applyAlignment="1" applyProtection="1">
      <alignment horizontal="right" vertical="center"/>
      <protection locked="0"/>
    </xf>
    <xf numFmtId="3" fontId="19" fillId="7" borderId="113" xfId="0" applyNumberFormat="1" applyFont="1" applyFill="1" applyBorder="1" applyAlignment="1" applyProtection="1">
      <alignment horizontal="right" vertical="center"/>
      <protection locked="0"/>
    </xf>
    <xf numFmtId="178" fontId="19" fillId="7" borderId="110" xfId="0" applyNumberFormat="1" applyFont="1" applyFill="1" applyBorder="1" applyAlignment="1" applyProtection="1">
      <alignment horizontal="center" vertical="center"/>
      <protection locked="0"/>
    </xf>
    <xf numFmtId="3" fontId="19" fillId="7" borderId="54" xfId="0" applyNumberFormat="1" applyFont="1" applyFill="1" applyBorder="1" applyAlignment="1" applyProtection="1">
      <alignment horizontal="center" vertical="center"/>
      <protection locked="0"/>
    </xf>
    <xf numFmtId="38" fontId="19" fillId="7" borderId="54" xfId="0" applyNumberFormat="1" applyFont="1" applyFill="1" applyBorder="1" applyAlignment="1" applyProtection="1">
      <alignment horizontal="center" vertical="center"/>
      <protection locked="0"/>
    </xf>
    <xf numFmtId="181" fontId="19" fillId="7" borderId="54" xfId="42" applyNumberFormat="1" applyFont="1" applyFill="1" applyBorder="1" applyAlignment="1" applyProtection="1">
      <alignment horizontal="right" vertical="center"/>
      <protection locked="0"/>
    </xf>
    <xf numFmtId="37" fontId="19" fillId="7" borderId="54" xfId="0" applyNumberFormat="1" applyFont="1" applyFill="1" applyBorder="1" applyAlignment="1" applyProtection="1">
      <alignment horizontal="right" vertical="center"/>
      <protection locked="0"/>
    </xf>
    <xf numFmtId="0" fontId="30" fillId="7" borderId="109" xfId="1" applyNumberFormat="1" applyFont="1" applyFill="1" applyBorder="1" applyAlignment="1" applyProtection="1">
      <alignment horizontal="center" vertical="center"/>
      <protection locked="0"/>
    </xf>
    <xf numFmtId="166" fontId="30" fillId="7" borderId="109" xfId="1" applyNumberFormat="1" applyFont="1" applyFill="1" applyBorder="1" applyAlignment="1" applyProtection="1">
      <alignment horizontal="center" vertical="center"/>
      <protection locked="0"/>
    </xf>
    <xf numFmtId="166" fontId="30" fillId="7" borderId="108" xfId="1" applyNumberFormat="1" applyFont="1" applyFill="1" applyBorder="1" applyAlignment="1" applyProtection="1">
      <alignment horizontal="center" vertical="center"/>
      <protection locked="0"/>
    </xf>
    <xf numFmtId="3" fontId="4" fillId="7" borderId="54" xfId="0" applyNumberFormat="1" applyFont="1" applyFill="1" applyBorder="1" applyAlignment="1">
      <alignment horizontal="right" vertical="center"/>
    </xf>
    <xf numFmtId="164" fontId="19" fillId="7" borderId="25" xfId="20" applyNumberFormat="1" applyFont="1" applyFill="1" applyBorder="1" applyAlignment="1" applyProtection="1">
      <alignment horizontal="center" vertical="center"/>
      <protection locked="0"/>
    </xf>
    <xf numFmtId="164" fontId="19" fillId="7" borderId="26" xfId="20" applyNumberFormat="1" applyFont="1" applyFill="1" applyBorder="1" applyAlignment="1" applyProtection="1">
      <alignment horizontal="center" vertical="center"/>
      <protection locked="0"/>
    </xf>
    <xf numFmtId="164" fontId="19" fillId="7" borderId="23" xfId="20" applyNumberFormat="1" applyFont="1" applyFill="1" applyBorder="1" applyAlignment="1" applyProtection="1">
      <alignment horizontal="center" vertical="center"/>
      <protection locked="0"/>
    </xf>
    <xf numFmtId="43" fontId="4" fillId="7" borderId="52" xfId="2" applyFont="1" applyFill="1" applyBorder="1" applyAlignment="1">
      <alignment horizontal="center" vertical="center"/>
    </xf>
    <xf numFmtId="43" fontId="4" fillId="7" borderId="29" xfId="2" applyFont="1" applyFill="1" applyBorder="1" applyAlignment="1">
      <alignment horizontal="center" vertical="center"/>
    </xf>
    <xf numFmtId="43" fontId="4" fillId="7" borderId="33" xfId="2" applyFont="1" applyFill="1" applyBorder="1" applyAlignment="1">
      <alignment horizontal="center" vertical="center"/>
    </xf>
    <xf numFmtId="43" fontId="4" fillId="7" borderId="54" xfId="2" applyFont="1" applyFill="1" applyBorder="1" applyAlignment="1">
      <alignment horizontal="center" vertical="center"/>
    </xf>
    <xf numFmtId="43" fontId="4" fillId="7" borderId="23" xfId="2" applyFont="1" applyFill="1" applyBorder="1" applyAlignment="1">
      <alignment horizontal="center" vertical="center"/>
    </xf>
    <xf numFmtId="43" fontId="18" fillId="7" borderId="27" xfId="0" applyNumberFormat="1" applyFont="1" applyFill="1" applyBorder="1" applyAlignment="1">
      <alignment horizontal="center" vertical="center"/>
    </xf>
    <xf numFmtId="43" fontId="18" fillId="7" borderId="34" xfId="0" applyNumberFormat="1" applyFont="1" applyFill="1" applyBorder="1" applyAlignment="1">
      <alignment horizontal="center" vertical="center"/>
    </xf>
    <xf numFmtId="43" fontId="18" fillId="7" borderId="57" xfId="0" applyNumberFormat="1" applyFont="1" applyFill="1" applyBorder="1" applyAlignment="1">
      <alignment horizontal="center" vertical="center"/>
    </xf>
    <xf numFmtId="1" fontId="4" fillId="7" borderId="52" xfId="0" applyNumberFormat="1" applyFont="1" applyFill="1" applyBorder="1" applyAlignment="1">
      <alignment horizontal="center" vertical="center"/>
    </xf>
    <xf numFmtId="1" fontId="4" fillId="7" borderId="29" xfId="0" applyNumberFormat="1" applyFont="1" applyFill="1" applyBorder="1" applyAlignment="1">
      <alignment horizontal="center" vertical="center"/>
    </xf>
    <xf numFmtId="1" fontId="4" fillId="7" borderId="54" xfId="0" applyNumberFormat="1" applyFont="1" applyFill="1" applyBorder="1" applyAlignment="1">
      <alignment horizontal="center" vertical="center"/>
    </xf>
    <xf numFmtId="1" fontId="4" fillId="7" borderId="23" xfId="0" applyNumberFormat="1" applyFont="1" applyFill="1" applyBorder="1" applyAlignment="1">
      <alignment horizontal="center" vertical="center"/>
    </xf>
    <xf numFmtId="1" fontId="4" fillId="7" borderId="33" xfId="0" applyNumberFormat="1" applyFont="1" applyFill="1" applyBorder="1" applyAlignment="1">
      <alignment horizontal="center" vertical="center"/>
    </xf>
    <xf numFmtId="164" fontId="1" fillId="7" borderId="67" xfId="0" applyNumberFormat="1" applyFont="1" applyFill="1" applyBorder="1"/>
    <xf numFmtId="164" fontId="1" fillId="7" borderId="67" xfId="0" applyNumberFormat="1" applyFont="1" applyFill="1" applyBorder="1" applyAlignment="1">
      <alignment horizontal="center"/>
    </xf>
    <xf numFmtId="164" fontId="0" fillId="7" borderId="67" xfId="0" applyNumberFormat="1" applyFill="1" applyBorder="1"/>
    <xf numFmtId="4" fontId="26" fillId="0" borderId="36" xfId="0" applyNumberFormat="1" applyFont="1" applyBorder="1"/>
    <xf numFmtId="3" fontId="8" fillId="4" borderId="35" xfId="1" applyNumberFormat="1" applyFont="1" applyFill="1" applyBorder="1" applyAlignment="1">
      <alignment horizontal="center" vertical="center"/>
    </xf>
    <xf numFmtId="3" fontId="8" fillId="2" borderId="35" xfId="1" applyNumberFormat="1" applyFont="1" applyFill="1" applyBorder="1" applyAlignment="1">
      <alignment horizontal="center" vertical="center"/>
    </xf>
    <xf numFmtId="4" fontId="0" fillId="0" borderId="0" xfId="0" applyNumberFormat="1" applyAlignment="1">
      <alignment vertical="top"/>
    </xf>
    <xf numFmtId="4" fontId="6" fillId="0" borderId="0" xfId="12" applyNumberFormat="1" applyAlignment="1">
      <alignment vertical="top"/>
    </xf>
    <xf numFmtId="3" fontId="22" fillId="0" borderId="0" xfId="0" applyNumberFormat="1" applyFont="1"/>
    <xf numFmtId="3" fontId="9" fillId="0" borderId="0" xfId="0" applyNumberFormat="1" applyFont="1"/>
    <xf numFmtId="3" fontId="30" fillId="0" borderId="30" xfId="1" applyNumberFormat="1" applyFont="1" applyFill="1" applyBorder="1" applyAlignment="1" applyProtection="1">
      <alignment horizontal="center" vertical="center"/>
    </xf>
    <xf numFmtId="3" fontId="19" fillId="7" borderId="54" xfId="1" applyNumberFormat="1" applyFont="1" applyFill="1" applyBorder="1" applyAlignment="1" applyProtection="1">
      <alignment horizontal="center" vertical="center"/>
      <protection locked="0"/>
    </xf>
    <xf numFmtId="3" fontId="30" fillId="7" borderId="30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/>
    </xf>
    <xf numFmtId="4" fontId="4" fillId="5" borderId="3" xfId="0" applyNumberFormat="1" applyFont="1" applyFill="1" applyBorder="1" applyAlignment="1">
      <alignment horizontal="center" vertical="center"/>
    </xf>
    <xf numFmtId="4" fontId="4" fillId="5" borderId="3" xfId="2" applyNumberFormat="1" applyFont="1" applyFill="1" applyBorder="1" applyAlignment="1" applyProtection="1">
      <alignment horizontal="center" vertical="center"/>
    </xf>
    <xf numFmtId="4" fontId="19" fillId="5" borderId="3" xfId="2" applyNumberFormat="1" applyFont="1" applyFill="1" applyBorder="1" applyAlignment="1" applyProtection="1">
      <alignment horizontal="center" vertical="center"/>
      <protection locked="0"/>
    </xf>
    <xf numFmtId="0" fontId="20" fillId="25" borderId="3" xfId="0" applyFont="1" applyFill="1" applyBorder="1" applyAlignment="1">
      <alignment vertical="center"/>
    </xf>
    <xf numFmtId="0" fontId="20" fillId="25" borderId="7" xfId="0" applyFont="1" applyFill="1" applyBorder="1" applyAlignment="1">
      <alignment vertical="center"/>
    </xf>
    <xf numFmtId="0" fontId="20" fillId="25" borderId="3" xfId="0" applyFont="1" applyFill="1" applyBorder="1" applyAlignment="1">
      <alignment horizontal="center" vertical="center"/>
    </xf>
    <xf numFmtId="4" fontId="20" fillId="25" borderId="3" xfId="2" applyNumberFormat="1" applyFont="1" applyFill="1" applyBorder="1" applyAlignment="1" applyProtection="1">
      <alignment horizontal="center" vertical="center"/>
    </xf>
    <xf numFmtId="3" fontId="4" fillId="5" borderId="3" xfId="0" applyNumberFormat="1" applyFont="1" applyFill="1" applyBorder="1" applyAlignment="1">
      <alignment horizontal="left" vertical="center"/>
    </xf>
    <xf numFmtId="0" fontId="41" fillId="5" borderId="3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/>
    </xf>
    <xf numFmtId="4" fontId="0" fillId="5" borderId="3" xfId="0" applyNumberFormat="1" applyFill="1" applyBorder="1" applyAlignment="1">
      <alignment horizontal="center"/>
    </xf>
    <xf numFmtId="3" fontId="17" fillId="26" borderId="3" xfId="0" applyNumberFormat="1" applyFont="1" applyFill="1" applyBorder="1" applyAlignment="1">
      <alignment horizontal="left" vertical="center"/>
    </xf>
    <xf numFmtId="0" fontId="17" fillId="26" borderId="3" xfId="0" applyFont="1" applyFill="1" applyBorder="1" applyAlignment="1">
      <alignment horizontal="left" vertical="center"/>
    </xf>
    <xf numFmtId="4" fontId="17" fillId="26" borderId="3" xfId="0" applyNumberFormat="1" applyFont="1" applyFill="1" applyBorder="1" applyAlignment="1">
      <alignment horizontal="center" vertical="center"/>
    </xf>
    <xf numFmtId="0" fontId="18" fillId="15" borderId="3" xfId="0" applyFont="1" applyFill="1" applyBorder="1" applyAlignment="1">
      <alignment horizontal="left" vertical="center"/>
    </xf>
    <xf numFmtId="4" fontId="18" fillId="15" borderId="3" xfId="0" applyNumberFormat="1" applyFont="1" applyFill="1" applyBorder="1" applyAlignment="1">
      <alignment horizontal="center" vertical="center"/>
    </xf>
    <xf numFmtId="1" fontId="4" fillId="0" borderId="24" xfId="0" applyNumberFormat="1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8" fillId="0" borderId="0" xfId="0" applyFo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0" fillId="6" borderId="0" xfId="0" applyFill="1" applyProtection="1">
      <protection locked="0"/>
    </xf>
    <xf numFmtId="0" fontId="51" fillId="4" borderId="0" xfId="0" applyFont="1" applyFill="1" applyAlignment="1" applyProtection="1">
      <alignment horizontal="right"/>
      <protection locked="0"/>
    </xf>
    <xf numFmtId="17" fontId="1" fillId="4" borderId="0" xfId="0" applyNumberFormat="1" applyFont="1" applyFill="1" applyAlignment="1" applyProtection="1">
      <alignment horizontal="left"/>
      <protection locked="0"/>
    </xf>
    <xf numFmtId="0" fontId="2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43" fontId="0" fillId="0" borderId="0" xfId="2" applyFont="1" applyProtection="1">
      <protection locked="0"/>
    </xf>
    <xf numFmtId="1" fontId="5" fillId="6" borderId="35" xfId="1" applyNumberFormat="1" applyFont="1" applyFill="1" applyBorder="1" applyAlignment="1" applyProtection="1">
      <alignment horizontal="center" vertical="center"/>
      <protection locked="0"/>
    </xf>
    <xf numFmtId="1" fontId="5" fillId="6" borderId="86" xfId="1" applyNumberFormat="1" applyFont="1" applyFill="1" applyBorder="1" applyAlignment="1" applyProtection="1">
      <alignment horizontal="center" vertical="center"/>
      <protection locked="0"/>
    </xf>
    <xf numFmtId="49" fontId="7" fillId="4" borderId="86" xfId="1" applyNumberFormat="1" applyFont="1" applyFill="1" applyBorder="1" applyAlignment="1" applyProtection="1">
      <alignment horizontal="left" vertical="center" indent="1"/>
      <protection locked="0"/>
    </xf>
    <xf numFmtId="49" fontId="7" fillId="5" borderId="35" xfId="1" applyNumberFormat="1" applyFont="1" applyFill="1" applyBorder="1" applyAlignment="1" applyProtection="1">
      <alignment horizontal="left" vertical="center" indent="1"/>
      <protection locked="0"/>
    </xf>
    <xf numFmtId="182" fontId="41" fillId="5" borderId="35" xfId="2" applyNumberFormat="1" applyFont="1" applyFill="1" applyBorder="1" applyAlignment="1" applyProtection="1">
      <alignment horizontal="right" vertical="center"/>
      <protection locked="0"/>
    </xf>
    <xf numFmtId="1" fontId="5" fillId="6" borderId="87" xfId="1" applyNumberFormat="1" applyFont="1" applyFill="1" applyBorder="1" applyAlignment="1" applyProtection="1">
      <alignment horizontal="center" vertical="center"/>
      <protection locked="0"/>
    </xf>
    <xf numFmtId="49" fontId="7" fillId="4" borderId="87" xfId="1" applyNumberFormat="1" applyFont="1" applyFill="1" applyBorder="1" applyAlignment="1" applyProtection="1">
      <alignment horizontal="left" vertical="center" indent="1"/>
      <protection locked="0"/>
    </xf>
    <xf numFmtId="1" fontId="5" fillId="6" borderId="88" xfId="1" applyNumberFormat="1" applyFont="1" applyFill="1" applyBorder="1" applyAlignment="1" applyProtection="1">
      <alignment horizontal="center" vertical="center"/>
      <protection locked="0"/>
    </xf>
    <xf numFmtId="49" fontId="7" fillId="4" borderId="88" xfId="1" applyNumberFormat="1" applyFont="1" applyFill="1" applyBorder="1" applyAlignment="1" applyProtection="1">
      <alignment horizontal="left" vertical="center" indent="1"/>
      <protection locked="0"/>
    </xf>
    <xf numFmtId="49" fontId="8" fillId="0" borderId="35" xfId="1" applyNumberFormat="1" applyFont="1" applyFill="1" applyBorder="1" applyAlignment="1" applyProtection="1">
      <alignment horizontal="left" vertical="center" indent="2"/>
      <protection locked="0"/>
    </xf>
    <xf numFmtId="182" fontId="41" fillId="0" borderId="35" xfId="2" applyNumberFormat="1" applyFont="1" applyFill="1" applyBorder="1" applyAlignment="1" applyProtection="1">
      <alignment horizontal="right" vertical="center"/>
      <protection locked="0"/>
    </xf>
    <xf numFmtId="8" fontId="8" fillId="0" borderId="0" xfId="0" applyNumberFormat="1" applyFont="1" applyProtection="1">
      <protection locked="0"/>
    </xf>
    <xf numFmtId="164" fontId="41" fillId="5" borderId="35" xfId="2" applyNumberFormat="1" applyFont="1" applyFill="1" applyBorder="1" applyAlignment="1" applyProtection="1">
      <alignment horizontal="right" vertical="center"/>
      <protection locked="0"/>
    </xf>
    <xf numFmtId="49" fontId="34" fillId="0" borderId="0" xfId="16" applyNumberFormat="1" applyFont="1" applyFill="1" applyBorder="1" applyAlignment="1" applyProtection="1">
      <alignment vertical="center"/>
      <protection locked="0"/>
    </xf>
    <xf numFmtId="164" fontId="34" fillId="0" borderId="0" xfId="2" applyNumberFormat="1" applyFont="1" applyFill="1" applyBorder="1" applyAlignment="1" applyProtection="1">
      <alignment vertical="center"/>
      <protection locked="0"/>
    </xf>
    <xf numFmtId="49" fontId="7" fillId="0" borderId="35" xfId="1" applyNumberFormat="1" applyFont="1" applyFill="1" applyBorder="1" applyAlignment="1" applyProtection="1">
      <alignment horizontal="left" vertical="center" indent="1"/>
      <protection locked="0"/>
    </xf>
    <xf numFmtId="3" fontId="41" fillId="0" borderId="35" xfId="2" applyNumberFormat="1" applyFont="1" applyFill="1" applyBorder="1" applyAlignment="1" applyProtection="1">
      <alignment horizontal="right" vertical="center"/>
      <protection locked="0"/>
    </xf>
    <xf numFmtId="3" fontId="34" fillId="0" borderId="0" xfId="2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Protection="1">
      <protection locked="0"/>
    </xf>
    <xf numFmtId="3" fontId="8" fillId="0" borderId="0" xfId="2" applyNumberFormat="1" applyFont="1" applyProtection="1">
      <protection locked="0"/>
    </xf>
    <xf numFmtId="3" fontId="35" fillId="0" borderId="0" xfId="2" applyNumberFormat="1" applyFont="1" applyFill="1" applyBorder="1" applyAlignment="1" applyProtection="1">
      <alignment horizontal="right" vertical="center"/>
      <protection locked="0"/>
    </xf>
    <xf numFmtId="3" fontId="8" fillId="0" borderId="35" xfId="2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right"/>
      <protection locked="0"/>
    </xf>
    <xf numFmtId="0" fontId="35" fillId="0" borderId="0" xfId="16" applyFont="1" applyFill="1" applyBorder="1" applyAlignment="1" applyProtection="1">
      <alignment vertical="center"/>
      <protection locked="0"/>
    </xf>
    <xf numFmtId="171" fontId="8" fillId="0" borderId="0" xfId="0" applyNumberFormat="1" applyFont="1" applyProtection="1">
      <protection locked="0"/>
    </xf>
    <xf numFmtId="168" fontId="35" fillId="0" borderId="0" xfId="16" applyNumberFormat="1" applyFont="1" applyFill="1" applyBorder="1" applyAlignment="1" applyProtection="1">
      <alignment vertical="center"/>
      <protection locked="0"/>
    </xf>
    <xf numFmtId="0" fontId="35" fillId="0" borderId="0" xfId="16" applyFont="1" applyFill="1" applyAlignment="1" applyProtection="1">
      <alignment vertical="center"/>
      <protection locked="0"/>
    </xf>
    <xf numFmtId="3" fontId="7" fillId="0" borderId="0" xfId="1" applyNumberFormat="1" applyFont="1" applyFill="1" applyBorder="1" applyAlignment="1" applyProtection="1">
      <alignment horizontal="right" vertical="center"/>
      <protection locked="0"/>
    </xf>
    <xf numFmtId="10" fontId="7" fillId="0" borderId="0" xfId="1" applyNumberFormat="1" applyFont="1" applyFill="1" applyBorder="1" applyAlignment="1" applyProtection="1">
      <alignment horizontal="left" vertical="center" indent="1"/>
      <protection locked="0"/>
    </xf>
    <xf numFmtId="0" fontId="34" fillId="0" borderId="0" xfId="16" quotePrefix="1" applyFont="1" applyFill="1" applyBorder="1" applyAlignment="1" applyProtection="1">
      <alignment vertical="center"/>
      <protection locked="0"/>
    </xf>
    <xf numFmtId="166" fontId="35" fillId="0" borderId="0" xfId="1" applyNumberFormat="1" applyFont="1" applyFill="1" applyBorder="1" applyProtection="1">
      <protection locked="0"/>
    </xf>
    <xf numFmtId="3" fontId="8" fillId="0" borderId="0" xfId="1" applyNumberFormat="1" applyFont="1" applyFill="1" applyBorder="1" applyAlignment="1" applyProtection="1">
      <alignment horizontal="right" vertical="center"/>
      <protection locked="0"/>
    </xf>
    <xf numFmtId="10" fontId="8" fillId="0" borderId="0" xfId="1" applyNumberFormat="1" applyFont="1" applyFill="1" applyBorder="1" applyAlignment="1" applyProtection="1">
      <alignment horizontal="left" vertical="center" indent="1"/>
      <protection locked="0"/>
    </xf>
    <xf numFmtId="3" fontId="0" fillId="0" borderId="0" xfId="0" applyNumberFormat="1" applyProtection="1">
      <protection locked="0"/>
    </xf>
    <xf numFmtId="166" fontId="35" fillId="0" borderId="0" xfId="1" applyNumberFormat="1" applyFont="1" applyFill="1" applyBorder="1" applyAlignment="1" applyProtection="1">
      <alignment horizontal="center"/>
      <protection locked="0"/>
    </xf>
    <xf numFmtId="1" fontId="5" fillId="6" borderId="35" xfId="1" applyNumberFormat="1" applyFont="1" applyFill="1" applyBorder="1" applyAlignment="1" applyProtection="1">
      <alignment horizontal="left" vertical="center" indent="1"/>
      <protection locked="0"/>
    </xf>
    <xf numFmtId="4" fontId="7" fillId="0" borderId="35" xfId="1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left"/>
      <protection locked="0"/>
    </xf>
    <xf numFmtId="3" fontId="7" fillId="0" borderId="35" xfId="1" applyNumberFormat="1" applyFont="1" applyFill="1" applyBorder="1" applyAlignment="1" applyProtection="1">
      <alignment horizontal="right" vertical="center"/>
      <protection locked="0"/>
    </xf>
    <xf numFmtId="169" fontId="34" fillId="0" borderId="0" xfId="16" quotePrefix="1" applyNumberFormat="1" applyFont="1" applyFill="1" applyBorder="1" applyAlignment="1" applyProtection="1">
      <alignment horizontal="center" vertical="center"/>
      <protection locked="0"/>
    </xf>
    <xf numFmtId="4" fontId="7" fillId="0" borderId="0" xfId="1" applyNumberFormat="1" applyFont="1" applyFill="1" applyBorder="1" applyAlignment="1" applyProtection="1">
      <alignment horizontal="left" vertical="center" indent="1"/>
      <protection locked="0"/>
    </xf>
    <xf numFmtId="0" fontId="35" fillId="0" borderId="0" xfId="0" applyFont="1" applyProtection="1">
      <protection locked="0"/>
    </xf>
    <xf numFmtId="3" fontId="8" fillId="0" borderId="0" xfId="0" applyNumberFormat="1" applyFont="1" applyProtection="1">
      <protection locked="0"/>
    </xf>
    <xf numFmtId="1" fontId="5" fillId="21" borderId="35" xfId="1" applyNumberFormat="1" applyFont="1" applyFill="1" applyBorder="1" applyAlignment="1" applyProtection="1">
      <alignment horizontal="center" vertical="center"/>
      <protection locked="0"/>
    </xf>
    <xf numFmtId="169" fontId="54" fillId="0" borderId="0" xfId="16" quotePrefix="1" applyNumberFormat="1" applyFont="1" applyFill="1" applyBorder="1" applyAlignment="1" applyProtection="1">
      <alignment horizontal="center" vertical="center"/>
      <protection locked="0"/>
    </xf>
    <xf numFmtId="49" fontId="8" fillId="5" borderId="35" xfId="1" applyNumberFormat="1" applyFont="1" applyFill="1" applyBorder="1" applyAlignment="1" applyProtection="1">
      <alignment horizontal="left" vertical="center" indent="1"/>
      <protection locked="0"/>
    </xf>
    <xf numFmtId="4" fontId="41" fillId="7" borderId="35" xfId="1" applyNumberFormat="1" applyFont="1" applyFill="1" applyBorder="1" applyAlignment="1" applyProtection="1">
      <alignment horizontal="right" vertical="center"/>
      <protection locked="0"/>
    </xf>
    <xf numFmtId="4" fontId="41" fillId="0" borderId="35" xfId="1" applyNumberFormat="1" applyFont="1" applyFill="1" applyBorder="1" applyAlignment="1" applyProtection="1">
      <alignment horizontal="right" vertical="center"/>
      <protection locked="0"/>
    </xf>
    <xf numFmtId="10" fontId="41" fillId="7" borderId="35" xfId="1" applyNumberFormat="1" applyFont="1" applyFill="1" applyBorder="1" applyAlignment="1" applyProtection="1">
      <alignment horizontal="right" vertical="center"/>
      <protection locked="0"/>
    </xf>
    <xf numFmtId="10" fontId="41" fillId="0" borderId="35" xfId="1" applyNumberFormat="1" applyFont="1" applyFill="1" applyBorder="1" applyAlignment="1" applyProtection="1">
      <alignment horizontal="right" vertical="center"/>
      <protection locked="0"/>
    </xf>
    <xf numFmtId="4" fontId="17" fillId="0" borderId="35" xfId="1" applyNumberFormat="1" applyFont="1" applyFill="1" applyBorder="1" applyAlignment="1" applyProtection="1">
      <alignment horizontal="right" vertical="center"/>
      <protection locked="0"/>
    </xf>
    <xf numFmtId="177" fontId="41" fillId="0" borderId="35" xfId="1" applyNumberFormat="1" applyFont="1" applyFill="1" applyBorder="1" applyAlignment="1" applyProtection="1">
      <alignment horizontal="right" vertical="center"/>
      <protection locked="0"/>
    </xf>
    <xf numFmtId="169" fontId="35" fillId="0" borderId="0" xfId="16" quotePrefix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10" fontId="35" fillId="0" borderId="0" xfId="16" quotePrefix="1" applyNumberFormat="1" applyFont="1" applyFill="1" applyBorder="1" applyAlignment="1" applyProtection="1">
      <alignment horizontal="center" vertical="center"/>
      <protection locked="0"/>
    </xf>
    <xf numFmtId="0" fontId="35" fillId="2" borderId="0" xfId="0" applyFont="1" applyFill="1" applyProtection="1">
      <protection locked="0"/>
    </xf>
    <xf numFmtId="4" fontId="8" fillId="0" borderId="0" xfId="1" applyNumberFormat="1" applyFont="1" applyFill="1" applyBorder="1" applyAlignment="1" applyProtection="1">
      <alignment horizontal="left" vertical="center" indent="1"/>
      <protection locked="0"/>
    </xf>
    <xf numFmtId="0" fontId="43" fillId="0" borderId="0" xfId="0" applyFont="1" applyProtection="1">
      <protection locked="0"/>
    </xf>
    <xf numFmtId="3" fontId="43" fillId="0" borderId="0" xfId="0" applyNumberFormat="1" applyFont="1" applyProtection="1">
      <protection locked="0"/>
    </xf>
    <xf numFmtId="10" fontId="43" fillId="0" borderId="0" xfId="1" applyNumberFormat="1" applyFont="1" applyBorder="1" applyProtection="1">
      <protection locked="0"/>
    </xf>
    <xf numFmtId="166" fontId="43" fillId="0" borderId="0" xfId="1" applyNumberFormat="1" applyFont="1" applyBorder="1" applyProtection="1">
      <protection locked="0"/>
    </xf>
    <xf numFmtId="9" fontId="0" fillId="0" borderId="0" xfId="0" applyNumberFormat="1" applyProtection="1">
      <protection locked="0"/>
    </xf>
    <xf numFmtId="2" fontId="8" fillId="0" borderId="0" xfId="1" applyNumberFormat="1" applyFont="1" applyFill="1" applyBorder="1" applyAlignment="1">
      <alignment horizontal="center" vertical="center"/>
    </xf>
    <xf numFmtId="1" fontId="47" fillId="6" borderId="63" xfId="1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3" fontId="30" fillId="7" borderId="30" xfId="1" applyNumberFormat="1" applyFont="1" applyFill="1" applyBorder="1" applyAlignment="1" applyProtection="1">
      <alignment horizontal="center" vertical="center"/>
    </xf>
    <xf numFmtId="0" fontId="13" fillId="0" borderId="117" xfId="0" applyFont="1" applyBorder="1" applyAlignment="1">
      <alignment horizontal="center" vertical="center"/>
    </xf>
    <xf numFmtId="0" fontId="13" fillId="0" borderId="118" xfId="0" applyFont="1" applyBorder="1" applyAlignment="1">
      <alignment horizontal="center" vertical="center"/>
    </xf>
    <xf numFmtId="0" fontId="13" fillId="0" borderId="119" xfId="0" applyFont="1" applyBorder="1" applyAlignment="1">
      <alignment horizontal="center" vertical="center"/>
    </xf>
    <xf numFmtId="0" fontId="2" fillId="0" borderId="120" xfId="0" applyFont="1" applyBorder="1"/>
    <xf numFmtId="0" fontId="2" fillId="0" borderId="18" xfId="0" applyFont="1" applyBorder="1"/>
    <xf numFmtId="3" fontId="0" fillId="0" borderId="3" xfId="0" applyNumberFormat="1" applyBorder="1" applyAlignment="1">
      <alignment horizontal="center" vertical="center"/>
    </xf>
    <xf numFmtId="3" fontId="0" fillId="7" borderId="3" xfId="0" applyNumberFormat="1" applyFill="1" applyBorder="1" applyAlignment="1">
      <alignment horizontal="center" vertical="center"/>
    </xf>
    <xf numFmtId="0" fontId="13" fillId="0" borderId="21" xfId="0" applyFont="1" applyBorder="1" applyAlignment="1">
      <alignment horizontal="left" vertical="center"/>
    </xf>
    <xf numFmtId="4" fontId="8" fillId="0" borderId="0" xfId="1" applyNumberFormat="1" applyFont="1" applyFill="1" applyBorder="1" applyAlignment="1">
      <alignment horizontal="center" vertical="center"/>
    </xf>
    <xf numFmtId="0" fontId="7" fillId="0" borderId="0" xfId="0" applyFont="1" applyAlignment="1" applyProtection="1">
      <alignment vertical="center"/>
      <protection locked="0"/>
    </xf>
    <xf numFmtId="1" fontId="5" fillId="6" borderId="62" xfId="1" applyNumberFormat="1" applyFont="1" applyFill="1" applyBorder="1" applyAlignment="1" applyProtection="1">
      <alignment horizontal="center" vertical="center" wrapText="1"/>
      <protection locked="0"/>
    </xf>
    <xf numFmtId="1" fontId="5" fillId="6" borderId="61" xfId="1" applyNumberFormat="1" applyFont="1" applyFill="1" applyBorder="1" applyAlignment="1" applyProtection="1">
      <alignment horizontal="center" vertical="center" wrapText="1"/>
      <protection locked="0"/>
    </xf>
    <xf numFmtId="1" fontId="5" fillId="6" borderId="60" xfId="1" applyNumberFormat="1" applyFont="1" applyFill="1" applyBorder="1" applyAlignment="1" applyProtection="1">
      <alignment horizontal="center" vertical="center" wrapText="1"/>
      <protection locked="0"/>
    </xf>
    <xf numFmtId="1" fontId="5" fillId="6" borderId="65" xfId="1" applyNumberFormat="1" applyFont="1" applyFill="1" applyBorder="1" applyAlignment="1" applyProtection="1">
      <alignment horizontal="center" vertical="center"/>
      <protection locked="0"/>
    </xf>
    <xf numFmtId="1" fontId="5" fillId="6" borderId="66" xfId="1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/>
      <protection locked="0"/>
    </xf>
    <xf numFmtId="0" fontId="49" fillId="0" borderId="0" xfId="0" applyFont="1" applyAlignment="1" applyProtection="1">
      <alignment horizontal="center" vertical="center"/>
      <protection locked="0"/>
    </xf>
    <xf numFmtId="0" fontId="50" fillId="6" borderId="0" xfId="0" applyFont="1" applyFill="1" applyAlignment="1" applyProtection="1">
      <alignment horizontal="center"/>
      <protection locked="0"/>
    </xf>
    <xf numFmtId="1" fontId="5" fillId="6" borderId="36" xfId="1" applyNumberFormat="1" applyFont="1" applyFill="1" applyBorder="1" applyAlignment="1" applyProtection="1">
      <alignment horizontal="center" vertical="center"/>
      <protection locked="0"/>
    </xf>
    <xf numFmtId="1" fontId="5" fillId="6" borderId="116" xfId="1" applyNumberFormat="1" applyFont="1" applyFill="1" applyBorder="1" applyAlignment="1" applyProtection="1">
      <alignment horizontal="center" vertical="center"/>
      <protection locked="0"/>
    </xf>
    <xf numFmtId="49" fontId="7" fillId="4" borderId="36" xfId="1" applyNumberFormat="1" applyFont="1" applyFill="1" applyBorder="1" applyAlignment="1" applyProtection="1">
      <alignment horizontal="left" vertical="center" wrapText="1" indent="1"/>
      <protection locked="0"/>
    </xf>
    <xf numFmtId="49" fontId="7" fillId="4" borderId="116" xfId="1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0" xfId="0" applyFont="1" applyAlignment="1">
      <alignment horizontal="left"/>
    </xf>
    <xf numFmtId="1" fontId="5" fillId="6" borderId="74" xfId="1" applyNumberFormat="1" applyFont="1" applyFill="1" applyBorder="1" applyAlignment="1">
      <alignment horizontal="center" vertical="center" wrapText="1"/>
    </xf>
    <xf numFmtId="1" fontId="5" fillId="6" borderId="64" xfId="1" applyNumberFormat="1" applyFont="1" applyFill="1" applyBorder="1" applyAlignment="1">
      <alignment horizontal="center" vertical="center" wrapText="1"/>
    </xf>
    <xf numFmtId="1" fontId="5" fillId="6" borderId="73" xfId="1" applyNumberFormat="1" applyFont="1" applyFill="1" applyBorder="1" applyAlignment="1">
      <alignment horizontal="center" vertical="center" wrapText="1"/>
    </xf>
    <xf numFmtId="1" fontId="5" fillId="6" borderId="0" xfId="1" applyNumberFormat="1" applyFont="1" applyFill="1" applyBorder="1" applyAlignment="1">
      <alignment horizontal="center" vertical="center" wrapText="1"/>
    </xf>
    <xf numFmtId="1" fontId="5" fillId="6" borderId="62" xfId="1" applyNumberFormat="1" applyFont="1" applyFill="1" applyBorder="1" applyAlignment="1">
      <alignment horizontal="center" vertical="center" wrapText="1"/>
    </xf>
    <xf numFmtId="1" fontId="5" fillId="6" borderId="61" xfId="1" applyNumberFormat="1" applyFont="1" applyFill="1" applyBorder="1" applyAlignment="1">
      <alignment horizontal="center" vertical="center" wrapText="1"/>
    </xf>
    <xf numFmtId="1" fontId="5" fillId="6" borderId="60" xfId="1" applyNumberFormat="1" applyFont="1" applyFill="1" applyBorder="1" applyAlignment="1">
      <alignment horizontal="center" vertical="center" wrapText="1"/>
    </xf>
    <xf numFmtId="1" fontId="5" fillId="6" borderId="64" xfId="1" applyNumberFormat="1" applyFont="1" applyFill="1" applyBorder="1" applyAlignment="1">
      <alignment horizontal="center" vertical="center"/>
    </xf>
    <xf numFmtId="1" fontId="5" fillId="6" borderId="106" xfId="1" applyNumberFormat="1" applyFont="1" applyFill="1" applyBorder="1" applyAlignment="1">
      <alignment horizontal="center" vertical="center"/>
    </xf>
    <xf numFmtId="1" fontId="5" fillId="6" borderId="65" xfId="1" applyNumberFormat="1" applyFont="1" applyFill="1" applyBorder="1" applyAlignment="1">
      <alignment horizontal="center" vertical="center"/>
    </xf>
    <xf numFmtId="1" fontId="5" fillId="6" borderId="66" xfId="1" applyNumberFormat="1" applyFont="1" applyFill="1" applyBorder="1" applyAlignment="1">
      <alignment horizontal="center" vertical="center"/>
    </xf>
    <xf numFmtId="3" fontId="7" fillId="0" borderId="62" xfId="1" applyNumberFormat="1" applyFont="1" applyFill="1" applyBorder="1" applyAlignment="1">
      <alignment horizontal="center" vertical="center"/>
    </xf>
    <xf numFmtId="3" fontId="7" fillId="0" borderId="60" xfId="1" applyNumberFormat="1" applyFont="1" applyFill="1" applyBorder="1" applyAlignment="1">
      <alignment horizontal="center" vertical="center"/>
    </xf>
    <xf numFmtId="1" fontId="5" fillId="6" borderId="74" xfId="1" applyNumberFormat="1" applyFont="1" applyFill="1" applyBorder="1" applyAlignment="1">
      <alignment horizontal="center" vertical="center"/>
    </xf>
    <xf numFmtId="1" fontId="5" fillId="6" borderId="62" xfId="1" applyNumberFormat="1" applyFont="1" applyFill="1" applyBorder="1" applyAlignment="1">
      <alignment horizontal="center" vertical="center"/>
    </xf>
    <xf numFmtId="1" fontId="5" fillId="6" borderId="60" xfId="1" applyNumberFormat="1" applyFont="1" applyFill="1" applyBorder="1" applyAlignment="1">
      <alignment horizontal="center" vertical="center"/>
    </xf>
    <xf numFmtId="0" fontId="5" fillId="6" borderId="62" xfId="1" applyNumberFormat="1" applyFont="1" applyFill="1" applyBorder="1" applyAlignment="1">
      <alignment horizontal="center" vertical="center"/>
    </xf>
    <xf numFmtId="0" fontId="5" fillId="6" borderId="61" xfId="1" applyNumberFormat="1" applyFont="1" applyFill="1" applyBorder="1" applyAlignment="1">
      <alignment horizontal="center" vertical="center"/>
    </xf>
    <xf numFmtId="0" fontId="5" fillId="6" borderId="60" xfId="1" applyNumberFormat="1" applyFont="1" applyFill="1" applyBorder="1" applyAlignment="1">
      <alignment horizontal="center" vertical="center"/>
    </xf>
    <xf numFmtId="0" fontId="44" fillId="21" borderId="62" xfId="1" applyNumberFormat="1" applyFont="1" applyFill="1" applyBorder="1" applyAlignment="1">
      <alignment horizontal="center" vertical="center"/>
    </xf>
    <xf numFmtId="0" fontId="44" fillId="21" borderId="61" xfId="1" applyNumberFormat="1" applyFont="1" applyFill="1" applyBorder="1" applyAlignment="1">
      <alignment horizontal="center" vertical="center"/>
    </xf>
    <xf numFmtId="0" fontId="44" fillId="21" borderId="60" xfId="1" applyNumberFormat="1" applyFont="1" applyFill="1" applyBorder="1" applyAlignment="1">
      <alignment horizontal="center" vertical="center"/>
    </xf>
    <xf numFmtId="0" fontId="1" fillId="15" borderId="3" xfId="0" applyFont="1" applyFill="1" applyBorder="1" applyAlignment="1">
      <alignment horizontal="center"/>
    </xf>
    <xf numFmtId="1" fontId="5" fillId="6" borderId="61" xfId="1" applyNumberFormat="1" applyFont="1" applyFill="1" applyBorder="1" applyAlignment="1">
      <alignment horizontal="center" vertical="center"/>
    </xf>
    <xf numFmtId="0" fontId="2" fillId="0" borderId="36" xfId="0" applyFont="1" applyBorder="1" applyAlignment="1">
      <alignment horizontal="left"/>
    </xf>
    <xf numFmtId="0" fontId="5" fillId="6" borderId="74" xfId="1" applyNumberFormat="1" applyFont="1" applyFill="1" applyBorder="1" applyAlignment="1">
      <alignment horizontal="center" vertical="center"/>
    </xf>
    <xf numFmtId="0" fontId="5" fillId="6" borderId="64" xfId="1" applyNumberFormat="1" applyFont="1" applyFill="1" applyBorder="1" applyAlignment="1">
      <alignment horizontal="center" vertical="center"/>
    </xf>
    <xf numFmtId="0" fontId="36" fillId="0" borderId="0" xfId="0" applyFont="1" applyAlignment="1">
      <alignment horizontal="center"/>
    </xf>
    <xf numFmtId="10" fontId="5" fillId="6" borderId="65" xfId="1" applyNumberFormat="1" applyFont="1" applyFill="1" applyBorder="1" applyAlignment="1">
      <alignment horizontal="center" vertical="center"/>
    </xf>
    <xf numFmtId="10" fontId="5" fillId="6" borderId="89" xfId="1" applyNumberFormat="1" applyFont="1" applyFill="1" applyBorder="1" applyAlignment="1">
      <alignment horizontal="center" vertical="center"/>
    </xf>
    <xf numFmtId="10" fontId="5" fillId="6" borderId="62" xfId="1" applyNumberFormat="1" applyFont="1" applyFill="1" applyBorder="1" applyAlignment="1">
      <alignment horizontal="center" vertical="center"/>
    </xf>
    <xf numFmtId="10" fontId="5" fillId="6" borderId="61" xfId="1" applyNumberFormat="1" applyFont="1" applyFill="1" applyBorder="1" applyAlignment="1">
      <alignment horizontal="center" vertical="center"/>
    </xf>
    <xf numFmtId="10" fontId="5" fillId="6" borderId="60" xfId="1" applyNumberFormat="1" applyFont="1" applyFill="1" applyBorder="1" applyAlignment="1">
      <alignment horizontal="center" vertical="center"/>
    </xf>
    <xf numFmtId="1" fontId="55" fillId="6" borderId="65" xfId="1" applyNumberFormat="1" applyFont="1" applyFill="1" applyBorder="1" applyAlignment="1">
      <alignment horizontal="center" vertical="center"/>
    </xf>
    <xf numFmtId="1" fontId="55" fillId="6" borderId="66" xfId="1" applyNumberFormat="1" applyFont="1" applyFill="1" applyBorder="1" applyAlignment="1">
      <alignment horizontal="center" vertical="center"/>
    </xf>
    <xf numFmtId="1" fontId="55" fillId="6" borderId="62" xfId="1" applyNumberFormat="1" applyFont="1" applyFill="1" applyBorder="1" applyAlignment="1">
      <alignment horizontal="center" vertical="center" wrapText="1"/>
    </xf>
    <xf numFmtId="1" fontId="55" fillId="6" borderId="61" xfId="1" applyNumberFormat="1" applyFont="1" applyFill="1" applyBorder="1" applyAlignment="1">
      <alignment horizontal="center" vertical="center" wrapText="1"/>
    </xf>
    <xf numFmtId="1" fontId="55" fillId="6" borderId="60" xfId="1" applyNumberFormat="1" applyFont="1" applyFill="1" applyBorder="1" applyAlignment="1">
      <alignment horizontal="center" vertical="center" wrapText="1"/>
    </xf>
    <xf numFmtId="1" fontId="47" fillId="6" borderId="65" xfId="1" applyNumberFormat="1" applyFont="1" applyFill="1" applyBorder="1" applyAlignment="1">
      <alignment horizontal="center" vertical="center" wrapText="1"/>
    </xf>
    <xf numFmtId="1" fontId="47" fillId="6" borderId="66" xfId="1" applyNumberFormat="1" applyFont="1" applyFill="1" applyBorder="1" applyAlignment="1">
      <alignment horizontal="center" vertical="center" wrapText="1"/>
    </xf>
    <xf numFmtId="1" fontId="47" fillId="6" borderId="62" xfId="1" applyNumberFormat="1" applyFont="1" applyFill="1" applyBorder="1" applyAlignment="1">
      <alignment horizontal="center" vertical="center" wrapText="1"/>
    </xf>
    <xf numFmtId="1" fontId="47" fillId="6" borderId="61" xfId="1" applyNumberFormat="1" applyFont="1" applyFill="1" applyBorder="1" applyAlignment="1">
      <alignment horizontal="center" vertical="center" wrapText="1"/>
    </xf>
    <xf numFmtId="1" fontId="47" fillId="6" borderId="60" xfId="1" applyNumberFormat="1" applyFont="1" applyFill="1" applyBorder="1" applyAlignment="1">
      <alignment horizontal="center" vertical="center" wrapText="1"/>
    </xf>
    <xf numFmtId="1" fontId="47" fillId="19" borderId="65" xfId="1" applyNumberFormat="1" applyFont="1" applyFill="1" applyBorder="1" applyAlignment="1">
      <alignment horizontal="center" vertical="center" wrapText="1"/>
    </xf>
    <xf numFmtId="1" fontId="47" fillId="19" borderId="66" xfId="1" applyNumberFormat="1" applyFont="1" applyFill="1" applyBorder="1" applyAlignment="1">
      <alignment horizontal="center" vertical="center" wrapText="1"/>
    </xf>
    <xf numFmtId="1" fontId="47" fillId="6" borderId="62" xfId="1" applyNumberFormat="1" applyFont="1" applyFill="1" applyBorder="1" applyAlignment="1">
      <alignment horizontal="center" vertical="center"/>
    </xf>
    <xf numFmtId="1" fontId="47" fillId="6" borderId="61" xfId="1" applyNumberFormat="1" applyFont="1" applyFill="1" applyBorder="1" applyAlignment="1">
      <alignment horizontal="center" vertical="center"/>
    </xf>
    <xf numFmtId="1" fontId="47" fillId="6" borderId="60" xfId="1" applyNumberFormat="1" applyFont="1" applyFill="1" applyBorder="1" applyAlignment="1">
      <alignment horizontal="center" vertical="center"/>
    </xf>
    <xf numFmtId="1" fontId="47" fillId="19" borderId="62" xfId="1" applyNumberFormat="1" applyFont="1" applyFill="1" applyBorder="1" applyAlignment="1">
      <alignment horizontal="center" vertical="center" wrapText="1"/>
    </xf>
    <xf numFmtId="1" fontId="47" fillId="19" borderId="61" xfId="1" applyNumberFormat="1" applyFont="1" applyFill="1" applyBorder="1" applyAlignment="1">
      <alignment horizontal="center" vertical="center" wrapText="1"/>
    </xf>
    <xf numFmtId="1" fontId="47" fillId="19" borderId="60" xfId="1" applyNumberFormat="1" applyFont="1" applyFill="1" applyBorder="1" applyAlignment="1">
      <alignment horizontal="center" vertical="center" wrapText="1"/>
    </xf>
    <xf numFmtId="1" fontId="47" fillId="19" borderId="65" xfId="1" applyNumberFormat="1" applyFont="1" applyFill="1" applyBorder="1" applyAlignment="1">
      <alignment horizontal="center" vertical="center"/>
    </xf>
    <xf numFmtId="1" fontId="47" fillId="19" borderId="66" xfId="1" applyNumberFormat="1" applyFont="1" applyFill="1" applyBorder="1" applyAlignment="1">
      <alignment horizontal="center" vertical="center"/>
    </xf>
    <xf numFmtId="1" fontId="47" fillId="6" borderId="65" xfId="1" applyNumberFormat="1" applyFont="1" applyFill="1" applyBorder="1" applyAlignment="1">
      <alignment horizontal="center" vertical="center"/>
    </xf>
    <xf numFmtId="1" fontId="47" fillId="6" borderId="66" xfId="1" applyNumberFormat="1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7" xfId="0" applyFont="1" applyBorder="1" applyAlignment="1">
      <alignment horizontal="left" vertical="center" wrapText="1"/>
    </xf>
    <xf numFmtId="0" fontId="15" fillId="0" borderId="51" xfId="0" applyFont="1" applyBorder="1" applyAlignment="1">
      <alignment horizontal="left" vertical="center" wrapText="1"/>
    </xf>
    <xf numFmtId="3" fontId="22" fillId="2" borderId="0" xfId="0" applyNumberFormat="1" applyFont="1" applyFill="1" applyAlignment="1">
      <alignment horizontal="center" vertical="center" wrapText="1"/>
    </xf>
    <xf numFmtId="0" fontId="14" fillId="9" borderId="12" xfId="0" applyFont="1" applyFill="1" applyBorder="1" applyAlignment="1">
      <alignment horizontal="center" vertical="center" wrapText="1"/>
    </xf>
    <xf numFmtId="0" fontId="14" fillId="9" borderId="13" xfId="0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center" vertical="center" wrapText="1"/>
    </xf>
    <xf numFmtId="0" fontId="14" fillId="9" borderId="15" xfId="0" applyFont="1" applyFill="1" applyBorder="1" applyAlignment="1">
      <alignment horizontal="center" vertical="center" wrapText="1"/>
    </xf>
    <xf numFmtId="0" fontId="14" fillId="9" borderId="17" xfId="0" applyFont="1" applyFill="1" applyBorder="1" applyAlignment="1">
      <alignment horizontal="center" vertical="center" wrapText="1"/>
    </xf>
    <xf numFmtId="0" fontId="14" fillId="9" borderId="18" xfId="0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0" fontId="23" fillId="8" borderId="13" xfId="0" applyFont="1" applyFill="1" applyBorder="1" applyAlignment="1">
      <alignment horizontal="center" vertical="center"/>
    </xf>
    <xf numFmtId="0" fontId="23" fillId="8" borderId="14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23" fillId="8" borderId="15" xfId="0" applyFont="1" applyFill="1" applyBorder="1" applyAlignment="1">
      <alignment horizontal="center" vertical="center"/>
    </xf>
    <xf numFmtId="0" fontId="23" fillId="8" borderId="16" xfId="0" applyFont="1" applyFill="1" applyBorder="1" applyAlignment="1">
      <alignment horizontal="center" vertical="center"/>
    </xf>
    <xf numFmtId="0" fontId="23" fillId="8" borderId="17" xfId="0" applyFont="1" applyFill="1" applyBorder="1" applyAlignment="1">
      <alignment horizontal="center" vertical="center"/>
    </xf>
    <xf numFmtId="0" fontId="23" fillId="8" borderId="18" xfId="0" applyFont="1" applyFill="1" applyBorder="1" applyAlignment="1">
      <alignment horizontal="center" vertical="center"/>
    </xf>
  </cellXfs>
  <cellStyles count="43">
    <cellStyle name="40% - Ênfase6" xfId="16" builtinId="51"/>
    <cellStyle name="Euro" xfId="24"/>
    <cellStyle name="Indefinido" xfId="25"/>
    <cellStyle name="Moeda 2" xfId="7"/>
    <cellStyle name="Moeda 3" xfId="18"/>
    <cellStyle name="Normal" xfId="0" builtinId="0"/>
    <cellStyle name="Normal 2" xfId="12"/>
    <cellStyle name="Normal 2 2" xfId="21"/>
    <cellStyle name="Normal 2 3" xfId="23"/>
    <cellStyle name="Normal 20" xfId="3"/>
    <cellStyle name="Normal 3" xfId="26"/>
    <cellStyle name="Normal 3 2" xfId="11"/>
    <cellStyle name="Normal 3 2 2" xfId="14"/>
    <cellStyle name="Normal 3 2 3" xfId="27"/>
    <cellStyle name="Normal 4" xfId="28"/>
    <cellStyle name="Normal 5" xfId="39"/>
    <cellStyle name="Normal 6 2" xfId="5"/>
    <cellStyle name="Normal_Plan3" xfId="15"/>
    <cellStyle name="Nota 2" xfId="9"/>
    <cellStyle name="Porcentagem" xfId="1" builtinId="5"/>
    <cellStyle name="Porcentagem 2" xfId="22"/>
    <cellStyle name="Porcentagem 2 2" xfId="30"/>
    <cellStyle name="Porcentagem 2 3" xfId="29"/>
    <cellStyle name="Porcentagem 3" xfId="31"/>
    <cellStyle name="Porcentagem 4" xfId="13"/>
    <cellStyle name="Porcentagem 4 2" xfId="32"/>
    <cellStyle name="Porcentagem 5" xfId="40"/>
    <cellStyle name="Porcentagem 6" xfId="10"/>
    <cellStyle name="Separador de milhares 2" xfId="33"/>
    <cellStyle name="Separador de milhares 2 2" xfId="34"/>
    <cellStyle name="Separador de milhares 3" xfId="35"/>
    <cellStyle name="Separador de milhares 4" xfId="36"/>
    <cellStyle name="Separador de milhares 5" xfId="41"/>
    <cellStyle name="Separador de milhares 7" xfId="37"/>
    <cellStyle name="Separador de milhares 7 2" xfId="38"/>
    <cellStyle name="Vírgula" xfId="2" builtinId="3"/>
    <cellStyle name="Vírgula 2" xfId="8"/>
    <cellStyle name="Vírgula 2 2" xfId="19"/>
    <cellStyle name="Vírgula 3" xfId="6"/>
    <cellStyle name="Vírgula 4" xfId="4"/>
    <cellStyle name="Vírgula 5" xfId="17"/>
    <cellStyle name="Vírgula 6" xfId="20"/>
    <cellStyle name="Vírgula 7" xfId="42"/>
  </cellStyles>
  <dxfs count="15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colors>
    <mruColors>
      <color rgb="FFECF4FA"/>
      <color rgb="FF99CCFF"/>
      <color rgb="FFFF2F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Ativos!$K$9</c:f>
              <c:strCache>
                <c:ptCount val="1"/>
                <c:pt idx="0">
                  <c:v>SAA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Ativos!$N$8:$V$8</c:f>
              <c:numCache>
                <c:formatCode>0</c:formatCode>
                <c:ptCount val="9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</c:numCache>
            </c:numRef>
          </c:cat>
          <c:val>
            <c:numRef>
              <c:f>Ativos!$N$9:$V$9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AB-4976-B270-E5FB8A863DD0}"/>
            </c:ext>
          </c:extLst>
        </c:ser>
        <c:ser>
          <c:idx val="1"/>
          <c:order val="1"/>
          <c:tx>
            <c:strRef>
              <c:f>Ativos!$K$10</c:f>
              <c:strCache>
                <c:ptCount val="1"/>
                <c:pt idx="0">
                  <c:v>SES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Ativos!$N$8:$V$8</c:f>
              <c:numCache>
                <c:formatCode>0</c:formatCode>
                <c:ptCount val="9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</c:numCache>
            </c:numRef>
          </c:cat>
          <c:val>
            <c:numRef>
              <c:f>Ativos!$N$10:$V$10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AB-4976-B270-E5FB8A863DD0}"/>
            </c:ext>
          </c:extLst>
        </c:ser>
        <c:ser>
          <c:idx val="2"/>
          <c:order val="2"/>
          <c:tx>
            <c:strRef>
              <c:f>Ativos!$K$11</c:f>
              <c:strCache>
                <c:ptCount val="1"/>
                <c:pt idx="0">
                  <c:v>Outros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Ativos!$N$8:$V$8</c:f>
              <c:numCache>
                <c:formatCode>0</c:formatCode>
                <c:ptCount val="9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</c:numCache>
            </c:numRef>
          </c:cat>
          <c:val>
            <c:numRef>
              <c:f>Ativos!$N$11:$V$11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4AB-4976-B270-E5FB8A86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3677136"/>
        <c:axId val="183675960"/>
      </c:barChart>
      <c:catAx>
        <c:axId val="18367713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675960"/>
        <c:crosses val="autoZero"/>
        <c:auto val="1"/>
        <c:lblAlgn val="ctr"/>
        <c:lblOffset val="100"/>
        <c:noMultiLvlLbl val="0"/>
      </c:catAx>
      <c:valAx>
        <c:axId val="183675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677136"/>
        <c:crosses val="autoZero"/>
        <c:crossBetween val="between"/>
        <c:majorUnit val="3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182213725537437"/>
          <c:y val="0.88432265104309049"/>
          <c:w val="0.21172049834127221"/>
          <c:h val="8.5747120070890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Curva de Envelhecimento da Dívida (2020)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'Receitas Irrecuperáveis'!$D$18:$AA$18</c:f>
              <c:numCache>
                <c:formatCode>0.00%</c:formatCode>
                <c:ptCount val="24"/>
                <c:pt idx="0">
                  <c:v>0.28638347978571305</c:v>
                </c:pt>
                <c:pt idx="1">
                  <c:v>7.9416424450422698E-2</c:v>
                </c:pt>
                <c:pt idx="2">
                  <c:v>5.8844929029326053E-2</c:v>
                </c:pt>
                <c:pt idx="3">
                  <c:v>6.9618757887776953E-2</c:v>
                </c:pt>
                <c:pt idx="4">
                  <c:v>8.4726492139901355E-2</c:v>
                </c:pt>
                <c:pt idx="5">
                  <c:v>8.2866363925031133E-2</c:v>
                </c:pt>
                <c:pt idx="6">
                  <c:v>8.5913973574572061E-2</c:v>
                </c:pt>
                <c:pt idx="7">
                  <c:v>7.5900644428267466E-2</c:v>
                </c:pt>
                <c:pt idx="8">
                  <c:v>7.6338641203908236E-2</c:v>
                </c:pt>
                <c:pt idx="9">
                  <c:v>6.8555628900996202E-2</c:v>
                </c:pt>
                <c:pt idx="10">
                  <c:v>6.3968431490769986E-2</c:v>
                </c:pt>
                <c:pt idx="11">
                  <c:v>4.8565780813615102E-2</c:v>
                </c:pt>
                <c:pt idx="12">
                  <c:v>4.8565200880468791E-2</c:v>
                </c:pt>
                <c:pt idx="13">
                  <c:v>4.4126132581784439E-2</c:v>
                </c:pt>
                <c:pt idx="14">
                  <c:v>4.3338937716716049E-2</c:v>
                </c:pt>
                <c:pt idx="15">
                  <c:v>4.4008649423817436E-2</c:v>
                </c:pt>
                <c:pt idx="16">
                  <c:v>4.866438115425073E-2</c:v>
                </c:pt>
                <c:pt idx="17">
                  <c:v>4.9084699365430084E-2</c:v>
                </c:pt>
                <c:pt idx="18">
                  <c:v>4.9337184529749438E-2</c:v>
                </c:pt>
                <c:pt idx="19">
                  <c:v>4.6601617768815252E-2</c:v>
                </c:pt>
                <c:pt idx="20">
                  <c:v>4.7971366033770876E-2</c:v>
                </c:pt>
                <c:pt idx="21">
                  <c:v>4.5546582261792805E-2</c:v>
                </c:pt>
                <c:pt idx="22">
                  <c:v>4.5153357280482261E-2</c:v>
                </c:pt>
                <c:pt idx="23">
                  <c:v>4.840608191544276E-2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1-4AE2-9456-13D394535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678312"/>
        <c:axId val="183679488"/>
      </c:lineChart>
      <c:catAx>
        <c:axId val="1836783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679488"/>
        <c:crosses val="autoZero"/>
        <c:auto val="1"/>
        <c:lblAlgn val="ctr"/>
        <c:lblOffset val="100"/>
        <c:noMultiLvlLbl val="0"/>
      </c:catAx>
      <c:valAx>
        <c:axId val="18367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678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Curva de Envelhecimento da Dívida (2019)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'Receitas Irrecuperáveis'!$D$26:$AA$26</c:f>
              <c:numCache>
                <c:formatCode>0.00%</c:formatCode>
                <c:ptCount val="24"/>
                <c:pt idx="0">
                  <c:v>0.31519296726551249</c:v>
                </c:pt>
                <c:pt idx="1">
                  <c:v>8.7108079383565587E-2</c:v>
                </c:pt>
                <c:pt idx="2">
                  <c:v>5.4398288196844918E-2</c:v>
                </c:pt>
                <c:pt idx="3">
                  <c:v>5.0990969677376603E-2</c:v>
                </c:pt>
                <c:pt idx="4">
                  <c:v>5.1928813327757027E-2</c:v>
                </c:pt>
                <c:pt idx="5">
                  <c:v>5.3515210560379327E-2</c:v>
                </c:pt>
                <c:pt idx="6">
                  <c:v>5.3389410275334261E-2</c:v>
                </c:pt>
                <c:pt idx="7">
                  <c:v>5.0199692122525064E-2</c:v>
                </c:pt>
                <c:pt idx="8">
                  <c:v>5.1609463546842003E-2</c:v>
                </c:pt>
                <c:pt idx="9">
                  <c:v>4.8454618626757949E-2</c:v>
                </c:pt>
                <c:pt idx="10">
                  <c:v>4.8190649607082275E-2</c:v>
                </c:pt>
                <c:pt idx="11">
                  <c:v>4.9242397905941926E-2</c:v>
                </c:pt>
                <c:pt idx="12">
                  <c:v>4.9415352416861374E-2</c:v>
                </c:pt>
                <c:pt idx="13">
                  <c:v>4.7023053372654583E-2</c:v>
                </c:pt>
                <c:pt idx="14">
                  <c:v>4.5674835589131713E-2</c:v>
                </c:pt>
                <c:pt idx="15">
                  <c:v>4.631059834762568E-2</c:v>
                </c:pt>
                <c:pt idx="16">
                  <c:v>4.8070213129865043E-2</c:v>
                </c:pt>
                <c:pt idx="17">
                  <c:v>4.5764200838493085E-2</c:v>
                </c:pt>
                <c:pt idx="18">
                  <c:v>4.6988206761562061E-2</c:v>
                </c:pt>
                <c:pt idx="19">
                  <c:v>5.0552467283755051E-2</c:v>
                </c:pt>
                <c:pt idx="20">
                  <c:v>4.4839396805824709E-2</c:v>
                </c:pt>
                <c:pt idx="21">
                  <c:v>4.578982588682913E-2</c:v>
                </c:pt>
                <c:pt idx="22">
                  <c:v>4.7363936446077344E-2</c:v>
                </c:pt>
                <c:pt idx="23">
                  <c:v>5.193253778993541E-2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F3-4033-9EF8-7E8CDB36C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674392"/>
        <c:axId val="183674784"/>
      </c:lineChart>
      <c:catAx>
        <c:axId val="1836743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674784"/>
        <c:crosses val="autoZero"/>
        <c:auto val="1"/>
        <c:lblAlgn val="ctr"/>
        <c:lblOffset val="100"/>
        <c:noMultiLvlLbl val="0"/>
      </c:catAx>
      <c:valAx>
        <c:axId val="18367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674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Curva de Envelhecimento da Dívida (2018)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'Receitas Irrecuperáveis'!$D$35:$AA$35</c:f>
              <c:numCache>
                <c:formatCode>0.00%</c:formatCode>
                <c:ptCount val="24"/>
                <c:pt idx="0">
                  <c:v>0.32427974969601264</c:v>
                </c:pt>
                <c:pt idx="1">
                  <c:v>8.436816645777695E-2</c:v>
                </c:pt>
                <c:pt idx="2">
                  <c:v>5.6958257198200676E-2</c:v>
                </c:pt>
                <c:pt idx="3">
                  <c:v>5.3474768660734265E-2</c:v>
                </c:pt>
                <c:pt idx="4">
                  <c:v>5.3441322708069533E-2</c:v>
                </c:pt>
                <c:pt idx="5">
                  <c:v>5.0168580107400836E-2</c:v>
                </c:pt>
                <c:pt idx="6">
                  <c:v>5.1110394548733944E-2</c:v>
                </c:pt>
                <c:pt idx="7">
                  <c:v>5.4252699391268235E-2</c:v>
                </c:pt>
                <c:pt idx="8">
                  <c:v>4.7550552584741168E-2</c:v>
                </c:pt>
                <c:pt idx="9">
                  <c:v>4.7500632542719176E-2</c:v>
                </c:pt>
                <c:pt idx="10">
                  <c:v>5.043825211181556E-2</c:v>
                </c:pt>
                <c:pt idx="11">
                  <c:v>5.270682106860046E-2</c:v>
                </c:pt>
                <c:pt idx="12">
                  <c:v>5.2155900554188714E-2</c:v>
                </c:pt>
                <c:pt idx="13">
                  <c:v>4.839619940058984E-2</c:v>
                </c:pt>
                <c:pt idx="14">
                  <c:v>4.6738565514353611E-2</c:v>
                </c:pt>
                <c:pt idx="15">
                  <c:v>4.7067815938286919E-2</c:v>
                </c:pt>
                <c:pt idx="16">
                  <c:v>4.8103700624182101E-2</c:v>
                </c:pt>
                <c:pt idx="17">
                  <c:v>4.8019255839481703E-2</c:v>
                </c:pt>
                <c:pt idx="18">
                  <c:v>4.7877499365124289E-2</c:v>
                </c:pt>
                <c:pt idx="19">
                  <c:v>4.838545602614535E-2</c:v>
                </c:pt>
                <c:pt idx="20">
                  <c:v>4.9066101700456874E-2</c:v>
                </c:pt>
                <c:pt idx="21">
                  <c:v>5.0710750656635585E-2</c:v>
                </c:pt>
                <c:pt idx="22">
                  <c:v>5.7129888740352838E-2</c:v>
                </c:pt>
                <c:pt idx="23">
                  <c:v>5.7093170577777692E-2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9F-4665-AFBE-9F025A397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6890720"/>
        <c:axId val="556890328"/>
      </c:lineChart>
      <c:catAx>
        <c:axId val="5568907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6890328"/>
        <c:crosses val="autoZero"/>
        <c:auto val="1"/>
        <c:lblAlgn val="ctr"/>
        <c:lblOffset val="100"/>
        <c:noMultiLvlLbl val="0"/>
      </c:catAx>
      <c:valAx>
        <c:axId val="556890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6890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Curva de Envelhecimento da Dívida (2017)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'Receitas Irrecuperáveis'!$D$44:$AA$44</c:f>
              <c:numCache>
                <c:formatCode>0.00%</c:formatCode>
                <c:ptCount val="24"/>
                <c:pt idx="0">
                  <c:v>0.33376722321083735</c:v>
                </c:pt>
                <c:pt idx="1">
                  <c:v>8.6091668818254793E-2</c:v>
                </c:pt>
                <c:pt idx="2">
                  <c:v>5.8053518940012989E-2</c:v>
                </c:pt>
                <c:pt idx="3">
                  <c:v>5.4025078295817798E-2</c:v>
                </c:pt>
                <c:pt idx="4">
                  <c:v>5.350947051781825E-2</c:v>
                </c:pt>
                <c:pt idx="5">
                  <c:v>5.1079018501141764E-2</c:v>
                </c:pt>
                <c:pt idx="6">
                  <c:v>5.0322317991033004E-2</c:v>
                </c:pt>
                <c:pt idx="7">
                  <c:v>5.0581025993552443E-2</c:v>
                </c:pt>
                <c:pt idx="8">
                  <c:v>5.2354925247058801E-2</c:v>
                </c:pt>
                <c:pt idx="9">
                  <c:v>5.4126306099041621E-2</c:v>
                </c:pt>
                <c:pt idx="10">
                  <c:v>6.0396615767642776E-2</c:v>
                </c:pt>
                <c:pt idx="11">
                  <c:v>5.9826986788452954E-2</c:v>
                </c:pt>
                <c:pt idx="12">
                  <c:v>5.8062359425877605E-2</c:v>
                </c:pt>
                <c:pt idx="13">
                  <c:v>5.7592202750645478E-2</c:v>
                </c:pt>
                <c:pt idx="14">
                  <c:v>5.6797571409448556E-2</c:v>
                </c:pt>
                <c:pt idx="15">
                  <c:v>5.6362873050560536E-2</c:v>
                </c:pt>
                <c:pt idx="16">
                  <c:v>5.9643825800940201E-2</c:v>
                </c:pt>
                <c:pt idx="17">
                  <c:v>5.9014325141557328E-2</c:v>
                </c:pt>
                <c:pt idx="18">
                  <c:v>5.5237315437989085E-2</c:v>
                </c:pt>
                <c:pt idx="19">
                  <c:v>5.587284946531141E-2</c:v>
                </c:pt>
                <c:pt idx="20">
                  <c:v>5.3362404597676147E-2</c:v>
                </c:pt>
                <c:pt idx="21">
                  <c:v>5.210572802937407E-2</c:v>
                </c:pt>
                <c:pt idx="22">
                  <c:v>5.5484333137394447E-2</c:v>
                </c:pt>
                <c:pt idx="23">
                  <c:v>4.9968002481868119E-2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6E-4D6D-8AF7-BA709616E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6889936"/>
        <c:axId val="556886408"/>
      </c:lineChart>
      <c:catAx>
        <c:axId val="5568899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6886408"/>
        <c:crosses val="autoZero"/>
        <c:auto val="1"/>
        <c:lblAlgn val="ctr"/>
        <c:lblOffset val="100"/>
        <c:noMultiLvlLbl val="0"/>
      </c:catAx>
      <c:valAx>
        <c:axId val="556886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6889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550881</xdr:colOff>
      <xdr:row>31</xdr:row>
      <xdr:rowOff>62510</xdr:rowOff>
    </xdr:from>
    <xdr:to>
      <xdr:col>21</xdr:col>
      <xdr:colOff>453571</xdr:colOff>
      <xdr:row>50</xdr:row>
      <xdr:rowOff>9896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DC24DF2-278B-48F1-86CC-D087882BC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369094</xdr:colOff>
      <xdr:row>0</xdr:row>
      <xdr:rowOff>0</xdr:rowOff>
    </xdr:from>
    <xdr:ext cx="291312" cy="184856"/>
    <xdr:pic>
      <xdr:nvPicPr>
        <xdr:cNvPr id="2" name="Imagem 1">
          <a:extLst>
            <a:ext uri="{FF2B5EF4-FFF2-40B4-BE49-F238E27FC236}">
              <a16:creationId xmlns:a16="http://schemas.microsoft.com/office/drawing/2014/main" id="{DB122C0A-F3DF-4946-AABC-7175441BF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944" y="0"/>
          <a:ext cx="291312" cy="184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173691</xdr:colOff>
      <xdr:row>10</xdr:row>
      <xdr:rowOff>23531</xdr:rowOff>
    </xdr:from>
    <xdr:to>
      <xdr:col>39</xdr:col>
      <xdr:colOff>459441</xdr:colOff>
      <xdr:row>18</xdr:row>
      <xdr:rowOff>145676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5580D96-9DB4-44F0-8B64-927F776F7A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156883</xdr:colOff>
      <xdr:row>19</xdr:row>
      <xdr:rowOff>56030</xdr:rowOff>
    </xdr:from>
    <xdr:to>
      <xdr:col>39</xdr:col>
      <xdr:colOff>442633</xdr:colOff>
      <xdr:row>27</xdr:row>
      <xdr:rowOff>178175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8DBF44D-EFA1-48F6-BA7F-F343F58F0F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168089</xdr:colOff>
      <xdr:row>28</xdr:row>
      <xdr:rowOff>33617</xdr:rowOff>
    </xdr:from>
    <xdr:to>
      <xdr:col>39</xdr:col>
      <xdr:colOff>453839</xdr:colOff>
      <xdr:row>36</xdr:row>
      <xdr:rowOff>155762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561F48E-EEF4-47C5-85C7-74A95FAAB1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179294</xdr:colOff>
      <xdr:row>37</xdr:row>
      <xdr:rowOff>33618</xdr:rowOff>
    </xdr:from>
    <xdr:to>
      <xdr:col>39</xdr:col>
      <xdr:colOff>465044</xdr:colOff>
      <xdr:row>45</xdr:row>
      <xdr:rowOff>155763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DC446FD-7FF1-47F1-B2DA-65BAA2341C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32</xdr:row>
      <xdr:rowOff>0</xdr:rowOff>
    </xdr:from>
    <xdr:to>
      <xdr:col>16</xdr:col>
      <xdr:colOff>419100</xdr:colOff>
      <xdr:row>61</xdr:row>
      <xdr:rowOff>6350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FBEBBE3-8CCF-4D2D-9157-C3AAD171A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5892800"/>
          <a:ext cx="6769100" cy="534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352425</xdr:colOff>
      <xdr:row>7</xdr:row>
      <xdr:rowOff>19050</xdr:rowOff>
    </xdr:from>
    <xdr:to>
      <xdr:col>13</xdr:col>
      <xdr:colOff>209550</xdr:colOff>
      <xdr:row>20</xdr:row>
      <xdr:rowOff>161925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1D83858-D3FB-4F30-8BD6-DD92C9B49382}"/>
            </a:ext>
          </a:extLst>
        </xdr:cNvPr>
        <xdr:cNvSpPr txBox="1"/>
      </xdr:nvSpPr>
      <xdr:spPr>
        <a:xfrm>
          <a:off x="9566275" y="1701800"/>
          <a:ext cx="2905125" cy="253682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200" b="1"/>
            <a:t>Aqui estão propostas</a:t>
          </a:r>
          <a:r>
            <a:rPr lang="pt-BR" sz="1200" b="1" baseline="0"/>
            <a:t> subdivisões para o plano de investimentos da Sanesul, que são as mesmas solicitadas nos investimentos realizados. </a:t>
          </a:r>
        </a:p>
        <a:p>
          <a:pPr algn="ctr"/>
          <a:endParaRPr lang="pt-BR" sz="1200" b="1" baseline="0"/>
        </a:p>
        <a:p>
          <a:pPr algn="ctr"/>
          <a:r>
            <a:rPr lang="pt-BR" sz="1200" b="1" baseline="0"/>
            <a:t>Tais subdivisões devem ser adequadas ao melhor planejamento interno da Companhia. </a:t>
          </a:r>
        </a:p>
        <a:p>
          <a:pPr algn="ctr"/>
          <a:r>
            <a:rPr lang="pt-BR" sz="1200" b="0" baseline="0"/>
            <a:t>A Sanesul deve preparar, adicionalmente, explicações ao plano de investimento proposto com demonstração da sua factibilidade e razoabilidade. </a:t>
          </a:r>
          <a:endParaRPr lang="pt-BR" sz="1200" b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dor\Downloads\20210908_Modelo-RTO-Sanesul%20j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"/>
      <sheetName val="Ativos"/>
      <sheetName val="OPEX"/>
      <sheetName val="Mercado"/>
      <sheetName val="Oferta"/>
      <sheetName val="INDICADORES MERCADO"/>
      <sheetName val="Contraprestação PPP"/>
      <sheetName val="Outras Receitas"/>
      <sheetName val="Receitas Irrecuperáveis"/>
      <sheetName val="BD Outras Receitas"/>
      <sheetName val="IPCA"/>
      <sheetName val="AUX"/>
      <sheetName val="BD TAI"/>
      <sheetName val="BD Custos Operacionais"/>
      <sheetName val="BD Receita"/>
      <sheetName val="Economias, Ligações e Volumes"/>
      <sheetName val="Consumo Energia"/>
      <sheetName val="Material de Tratamento"/>
      <sheetName val="BD Investimentos"/>
      <sheetName val="BD Volumes de Água"/>
      <sheetName val="BD Volumes de Esgoto"/>
    </sheetNames>
    <sheetDataSet>
      <sheetData sheetId="0">
        <row r="5">
          <cell r="F5">
            <v>44531</v>
          </cell>
        </row>
        <row r="32">
          <cell r="F32">
            <v>0.12341955589604259</v>
          </cell>
        </row>
        <row r="33">
          <cell r="F33">
            <v>8.1456906891388098E-2</v>
          </cell>
        </row>
        <row r="36">
          <cell r="F36">
            <v>6.9999999999999993E-3</v>
          </cell>
        </row>
      </sheetData>
      <sheetData sheetId="1">
        <row r="6">
          <cell r="C6">
            <v>2.2776916051120512E-2</v>
          </cell>
        </row>
      </sheetData>
      <sheetData sheetId="2">
        <row r="6">
          <cell r="C6">
            <v>2.8731393189528109E-2</v>
          </cell>
        </row>
      </sheetData>
      <sheetData sheetId="3" refreshError="1"/>
      <sheetData sheetId="4" refreshError="1"/>
      <sheetData sheetId="5" refreshError="1"/>
      <sheetData sheetId="6" refreshError="1"/>
      <sheetData sheetId="7">
        <row r="31">
          <cell r="N31">
            <v>3.8113580303867627E-2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>
    <tabColor theme="8" tint="-0.249977111117893"/>
  </sheetPr>
  <dimension ref="A1:V66"/>
  <sheetViews>
    <sheetView showGridLines="0" tabSelected="1" topLeftCell="E1" zoomScale="80" zoomScaleNormal="80" workbookViewId="0">
      <selection activeCell="E2" sqref="E2"/>
    </sheetView>
  </sheetViews>
  <sheetFormatPr defaultColWidth="0" defaultRowHeight="15" customHeight="1"/>
  <cols>
    <col min="1" max="1" width="2" style="504" hidden="1" customWidth="1"/>
    <col min="2" max="2" width="36.42578125" style="504" hidden="1" customWidth="1"/>
    <col min="3" max="3" width="35" style="504" hidden="1" customWidth="1"/>
    <col min="4" max="4" width="4.85546875" style="504" hidden="1" customWidth="1"/>
    <col min="5" max="5" width="47.7109375" style="504" customWidth="1"/>
    <col min="6" max="9" width="20.42578125" style="504" customWidth="1"/>
    <col min="10" max="10" width="9" style="504" customWidth="1"/>
    <col min="11" max="11" width="5.42578125" style="504" customWidth="1"/>
    <col min="12" max="19" width="8.7109375" hidden="1" customWidth="1"/>
    <col min="20" max="22" width="0" hidden="1" customWidth="1"/>
    <col min="23" max="16384" width="8.7109375" hidden="1"/>
  </cols>
  <sheetData>
    <row r="1" spans="1:11" ht="15" customHeight="1">
      <c r="B1" s="594"/>
      <c r="C1" s="594"/>
      <c r="D1" s="594"/>
      <c r="E1" s="594"/>
    </row>
    <row r="2" spans="1:11" ht="15" customHeight="1">
      <c r="B2" s="505"/>
      <c r="C2" s="505"/>
      <c r="D2" s="505"/>
      <c r="E2" s="588" t="s">
        <v>643</v>
      </c>
    </row>
    <row r="3" spans="1:11" ht="15" customHeight="1">
      <c r="B3" s="506"/>
      <c r="C3" s="506"/>
      <c r="D3" s="506"/>
      <c r="E3" s="588" t="s">
        <v>644</v>
      </c>
    </row>
    <row r="5" spans="1:11" ht="15" customHeight="1">
      <c r="A5" s="507"/>
      <c r="B5" s="596" t="s">
        <v>480</v>
      </c>
      <c r="C5" s="596"/>
      <c r="D5" s="507"/>
      <c r="E5" s="508" t="s">
        <v>41</v>
      </c>
      <c r="F5" s="509">
        <v>45992</v>
      </c>
      <c r="G5" s="510"/>
      <c r="H5" s="510"/>
      <c r="I5" s="511"/>
      <c r="J5" s="511"/>
      <c r="K5" s="511"/>
    </row>
    <row r="6" spans="1:11" ht="15" customHeight="1">
      <c r="B6" s="503"/>
      <c r="F6" s="512">
        <f>F23*0.015</f>
        <v>15170730.095512854</v>
      </c>
      <c r="G6" s="512">
        <f t="shared" ref="G6:I6" si="0">G23*0.015</f>
        <v>13877156.683228094</v>
      </c>
      <c r="H6" s="512">
        <f t="shared" si="0"/>
        <v>13520726.291069439</v>
      </c>
      <c r="I6" s="512">
        <f t="shared" si="0"/>
        <v>13169987.442780608</v>
      </c>
    </row>
    <row r="7" spans="1:11" s="2" customFormat="1" ht="15" customHeight="1">
      <c r="A7" s="503"/>
      <c r="B7" s="503"/>
      <c r="C7" s="503"/>
      <c r="D7" s="503"/>
      <c r="E7" s="592" t="s">
        <v>434</v>
      </c>
      <c r="F7" s="589" t="s">
        <v>160</v>
      </c>
      <c r="G7" s="590"/>
      <c r="H7" s="590"/>
      <c r="I7" s="591"/>
      <c r="J7" s="503"/>
      <c r="K7" s="503"/>
    </row>
    <row r="8" spans="1:11" s="2" customFormat="1" ht="15" customHeight="1">
      <c r="A8" s="503"/>
      <c r="B8" s="503"/>
      <c r="C8" s="503"/>
      <c r="D8" s="503"/>
      <c r="E8" s="593"/>
      <c r="F8" s="513">
        <v>2026</v>
      </c>
      <c r="G8" s="513">
        <v>2027</v>
      </c>
      <c r="H8" s="513">
        <v>2028</v>
      </c>
      <c r="I8" s="513">
        <v>2029</v>
      </c>
      <c r="J8" s="503"/>
      <c r="K8" s="503"/>
    </row>
    <row r="9" spans="1:11" s="2" customFormat="1" ht="5.0999999999999996" customHeight="1">
      <c r="A9" s="503"/>
      <c r="B9" s="503"/>
      <c r="C9" s="503"/>
      <c r="D9" s="503"/>
      <c r="E9" s="503"/>
      <c r="F9" s="503"/>
      <c r="G9" s="503"/>
      <c r="H9" s="503"/>
      <c r="I9" s="503"/>
      <c r="J9" s="503"/>
      <c r="K9" s="503"/>
    </row>
    <row r="10" spans="1:11" s="2" customFormat="1" ht="15" customHeight="1">
      <c r="A10" s="503"/>
      <c r="B10" s="514" t="s">
        <v>419</v>
      </c>
      <c r="C10" s="515" t="s">
        <v>371</v>
      </c>
      <c r="D10" s="503"/>
      <c r="E10" s="516" t="s">
        <v>443</v>
      </c>
      <c r="F10" s="517">
        <f>HLOOKUP(F$8-1,Ativos!$C$25:$H$28,2,FALSE)*QRR</f>
        <v>90035742.91858837</v>
      </c>
      <c r="G10" s="517">
        <f>HLOOKUP(G$8-1,Ativos!$C$25:$H$28,2,FALSE)*QRR</f>
        <v>90035742.91858837</v>
      </c>
      <c r="H10" s="517">
        <f>HLOOKUP(H$8-1,Ativos!$C$25:$H$28,2,FALSE)*QRR</f>
        <v>90035742.91858837</v>
      </c>
      <c r="I10" s="517">
        <f>HLOOKUP(I$8-1,Ativos!$C$25:$H$28,2,FALSE)*QRR</f>
        <v>90035742.91858837</v>
      </c>
      <c r="J10" s="503"/>
      <c r="K10" s="503"/>
    </row>
    <row r="11" spans="1:11" s="2" customFormat="1" ht="15" customHeight="1">
      <c r="A11" s="503"/>
      <c r="B11" s="518" t="s">
        <v>370</v>
      </c>
      <c r="C11" s="519" t="s">
        <v>374</v>
      </c>
      <c r="D11" s="503"/>
      <c r="E11" s="516" t="s">
        <v>210</v>
      </c>
      <c r="F11" s="517">
        <f>SUM(F12:F13)</f>
        <v>298371655.09187239</v>
      </c>
      <c r="G11" s="517">
        <f t="shared" ref="G11:I11" si="1">SUM(G12:G13)</f>
        <v>286930892.67064893</v>
      </c>
      <c r="H11" s="517">
        <f t="shared" si="1"/>
        <v>275728181.50625587</v>
      </c>
      <c r="I11" s="517">
        <f t="shared" si="1"/>
        <v>264526916.09682482</v>
      </c>
      <c r="J11" s="503"/>
      <c r="K11" s="503"/>
    </row>
    <row r="12" spans="1:11" s="2" customFormat="1" ht="15" customHeight="1">
      <c r="A12" s="503"/>
      <c r="B12" s="520" t="s">
        <v>376</v>
      </c>
      <c r="C12" s="521" t="s">
        <v>378</v>
      </c>
      <c r="D12" s="503"/>
      <c r="E12" s="522" t="s">
        <v>161</v>
      </c>
      <c r="F12" s="517">
        <f>HLOOKUP(F$8-1,Ativos!$C$25:$H$28,3,FALSE)*WACC_AntesImpostos</f>
        <v>294518015.58465499</v>
      </c>
      <c r="G12" s="517">
        <f>HLOOKUP(G$8-1,Ativos!$C$25:$H$28,3,FALSE)*WACC_AntesImpostos</f>
        <v>283405844.17887259</v>
      </c>
      <c r="H12" s="517">
        <f>HLOOKUP(H$8-1,Ativos!$C$25:$H$28,3,FALSE)*WACC_AntesImpostos</f>
        <v>272293672.77309018</v>
      </c>
      <c r="I12" s="517">
        <f>HLOOKUP(I$8-1,Ativos!$C$25:$H$28,3,FALSE)*WACC_AntesImpostos</f>
        <v>261181501.36730775</v>
      </c>
      <c r="J12" s="503"/>
      <c r="K12" s="503"/>
    </row>
    <row r="13" spans="1:11" s="2" customFormat="1" ht="15" customHeight="1">
      <c r="A13" s="503"/>
      <c r="B13" s="597" t="s">
        <v>499</v>
      </c>
      <c r="C13" s="599" t="s">
        <v>542</v>
      </c>
      <c r="D13" s="503"/>
      <c r="E13" s="522" t="s">
        <v>46</v>
      </c>
      <c r="F13" s="517">
        <f>(F$59-F$25)*INDEX(Ativos!$C$21:$H$21,1,MATCH(F$8-1,Ativos!$C$12:$H$12,0))*WACC_AntesImpostos</f>
        <v>3853639.5072174035</v>
      </c>
      <c r="G13" s="517">
        <f>(G$59-G$25)*INDEX(Ativos!$C$21:$H$21,1,MATCH(G$8-1,Ativos!$C$12:$H$12,0))*WACC_AntesImpostos</f>
        <v>3525048.4917763588</v>
      </c>
      <c r="H13" s="517">
        <f>(H$59-H$25)*INDEX(Ativos!$C$21:$H$21,1,MATCH(H$8-1,Ativos!$C$12:$H$12,0))*WACC_AntesImpostos</f>
        <v>3434508.7331656744</v>
      </c>
      <c r="I13" s="517">
        <f>(I$59-I$25)*INDEX(Ativos!$C$21:$H$21,1,MATCH(I$8-1,Ativos!$C$12:$H$12,0))*WACC_AntesImpostos</f>
        <v>3345414.7295170599</v>
      </c>
      <c r="J13" s="503"/>
      <c r="K13" s="503"/>
    </row>
    <row r="14" spans="1:11" s="2" customFormat="1" ht="15" customHeight="1">
      <c r="A14" s="503"/>
      <c r="B14" s="598"/>
      <c r="C14" s="600"/>
      <c r="D14" s="503"/>
      <c r="E14" s="516" t="s">
        <v>171</v>
      </c>
      <c r="F14" s="517">
        <f>HLOOKUP(F$8,OPEX!$D$30:$I$31,2,FALSE)</f>
        <v>523589543.41263753</v>
      </c>
      <c r="G14" s="517">
        <f>HLOOKUP(G$8,OPEX!$D$30:$I$31,2,FALSE)</f>
        <v>516183801.54421496</v>
      </c>
      <c r="H14" s="517">
        <f>HLOOKUP(H$8,OPEX!$D$30:$I$31,2,FALSE)</f>
        <v>508914376.45337176</v>
      </c>
      <c r="I14" s="517">
        <f>HLOOKUP(I$8,OPEX!$D$30:$I$31,2,FALSE)</f>
        <v>501778005.11115789</v>
      </c>
      <c r="J14" s="503"/>
      <c r="K14" s="503"/>
    </row>
    <row r="15" spans="1:11" s="2" customFormat="1" ht="15" customHeight="1">
      <c r="A15" s="503"/>
      <c r="B15" s="520" t="s">
        <v>498</v>
      </c>
      <c r="C15" s="521" t="s">
        <v>500</v>
      </c>
      <c r="D15" s="503"/>
      <c r="E15" s="516" t="s">
        <v>216</v>
      </c>
      <c r="F15" s="517">
        <f>F$59*TRS</f>
        <v>15170730.095512854</v>
      </c>
      <c r="G15" s="517">
        <f>G$59*TRS</f>
        <v>13877156.683228092</v>
      </c>
      <c r="H15" s="517">
        <f>H$59*TRS</f>
        <v>13520726.291069437</v>
      </c>
      <c r="I15" s="517">
        <f>I$59*TRS</f>
        <v>13169987.442780608</v>
      </c>
      <c r="J15" s="503"/>
      <c r="K15" s="503"/>
    </row>
    <row r="16" spans="1:11" s="2" customFormat="1" ht="15" customHeight="1">
      <c r="A16" s="503"/>
      <c r="B16" s="503"/>
      <c r="C16" s="503"/>
      <c r="D16" s="503"/>
      <c r="E16" s="516" t="s">
        <v>220</v>
      </c>
      <c r="F16" s="523">
        <f>SUMIFS('Contraprestação PPP'!$J$7:$J$65,'Contraprestação PPP'!$D$7:$D$65,F$8)</f>
        <v>59396008.531288929</v>
      </c>
      <c r="G16" s="523">
        <f>SUMIFS('Contraprestação PPP'!$J$7:$J$65,'Contraprestação PPP'!$D$7:$D$65,G$8)</f>
        <v>0</v>
      </c>
      <c r="H16" s="523">
        <f>SUMIFS('Contraprestação PPP'!$J$7:$J$65,'Contraprestação PPP'!$D$7:$D$65,H$8)</f>
        <v>0</v>
      </c>
      <c r="I16" s="523">
        <f>SUMIFS('Contraprestação PPP'!$J$7:$J$65,'Contraprestação PPP'!$D$7:$D$65,I$8)</f>
        <v>0</v>
      </c>
      <c r="J16" s="503"/>
      <c r="K16" s="503"/>
    </row>
    <row r="17" spans="1:11" s="2" customFormat="1" ht="15" customHeight="1">
      <c r="A17" s="503"/>
      <c r="B17" s="503"/>
      <c r="C17" s="524"/>
      <c r="D17" s="503"/>
      <c r="E17" s="516" t="s">
        <v>170</v>
      </c>
      <c r="F17" s="517">
        <f>(F$59-F$25)*HLOOKUP(F$8,'Receitas Irrecuperáveis'!$B$6:$G$7,2,FALSE)</f>
        <v>24818326.317623544</v>
      </c>
      <c r="G17" s="517">
        <f>(G$59-G$25)*HLOOKUP(G$8,'Receitas Irrecuperáveis'!$B$6:$G$7,2,FALSE)</f>
        <v>18116185.065192629</v>
      </c>
      <c r="H17" s="517">
        <f>(H$59-H$25)*HLOOKUP(H$8,'Receitas Irrecuperáveis'!$B$6:$G$7,2,FALSE)</f>
        <v>13182725.568677198</v>
      </c>
      <c r="I17" s="517">
        <f>(I$59-I$25)*HLOOKUP(I$8,'Receitas Irrecuperáveis'!$B$6:$G$7,2,FALSE)</f>
        <v>8488511.2826889995</v>
      </c>
      <c r="J17" s="503"/>
      <c r="K17" s="503"/>
    </row>
    <row r="18" spans="1:11" s="2" customFormat="1" ht="15" customHeight="1">
      <c r="A18" s="503"/>
      <c r="B18" s="503"/>
      <c r="C18" s="524"/>
      <c r="D18" s="503"/>
      <c r="E18" s="516" t="s">
        <v>243</v>
      </c>
      <c r="F18" s="525">
        <f>SUM(F19:F21)</f>
        <v>0</v>
      </c>
      <c r="G18" s="525">
        <f t="shared" ref="G18:I18" si="2">SUM(G19:G21)</f>
        <v>0</v>
      </c>
      <c r="H18" s="525">
        <f t="shared" si="2"/>
        <v>0</v>
      </c>
      <c r="I18" s="525">
        <f t="shared" si="2"/>
        <v>0</v>
      </c>
      <c r="J18" s="503"/>
      <c r="K18" s="503"/>
    </row>
    <row r="19" spans="1:11" s="2" customFormat="1" ht="15" customHeight="1">
      <c r="A19" s="503"/>
      <c r="B19" s="503"/>
      <c r="C19" s="524"/>
      <c r="D19" s="503"/>
      <c r="E19" s="522" t="s">
        <v>245</v>
      </c>
      <c r="F19" s="525">
        <f>IF($C$11="Sim",HLOOKUP(F$8-1,Ativos!$Z$24:$AE$27,MATCH($E19,Ativos!$Y$24:$Y$27,0),FALSE)*QRR,0)</f>
        <v>0</v>
      </c>
      <c r="G19" s="525">
        <f>IF($C$11="Sim",HLOOKUP(G$8-1,Ativos!$Z$24:$AE$27,MATCH($E19,Ativos!$Y$24:$Y$27,0),FALSE)*QRR,0)</f>
        <v>0</v>
      </c>
      <c r="H19" s="525">
        <f>IF($C$11="Sim",HLOOKUP(H$8-1,Ativos!$Z$24:$AE$27,MATCH($E19,Ativos!$Y$24:$Y$27,0),FALSE)*QRR,0)</f>
        <v>0</v>
      </c>
      <c r="I19" s="525">
        <f>IF($C$11="Sim",HLOOKUP(I$8-1,Ativos!$Z$24:$AE$27,MATCH($E19,Ativos!$Y$24:$Y$27,0),FALSE)*QRR,0)</f>
        <v>0</v>
      </c>
      <c r="J19" s="503"/>
      <c r="K19" s="503"/>
    </row>
    <row r="20" spans="1:11" s="2" customFormat="1" ht="15" customHeight="1">
      <c r="A20" s="503"/>
      <c r="B20" s="503"/>
      <c r="C20" s="524"/>
      <c r="D20" s="503"/>
      <c r="E20" s="522" t="s">
        <v>47</v>
      </c>
      <c r="F20" s="525">
        <f>IF($C$11="Sim",HLOOKUP(F$8-1,Ativos!$Z$24:$AE$27,MATCH($E20,Ativos!$Y$24:$Y$27,0),FALSE)*QRR,0)</f>
        <v>0</v>
      </c>
      <c r="G20" s="525">
        <f>IF($C$11="Sim",HLOOKUP(G$8-1,Ativos!$Z$24:$AE$27,MATCH($E20,Ativos!$Y$24:$Y$27,0),FALSE)*QRR,0)</f>
        <v>0</v>
      </c>
      <c r="H20" s="525">
        <f>IF($C$11="Sim",HLOOKUP(H$8-1,Ativos!$Z$24:$AE$27,MATCH($E20,Ativos!$Y$24:$Y$27,0),FALSE)*QRR,0)</f>
        <v>0</v>
      </c>
      <c r="I20" s="525">
        <f>IF($C$11="Sim",HLOOKUP(I$8-1,Ativos!$Z$24:$AE$27,MATCH($E20,Ativos!$Y$24:$Y$27,0),FALSE)*QRR,0)</f>
        <v>0</v>
      </c>
      <c r="J20" s="503"/>
      <c r="K20" s="503"/>
    </row>
    <row r="21" spans="1:11" s="2" customFormat="1" ht="15" customHeight="1">
      <c r="A21" s="503"/>
      <c r="B21" s="524"/>
      <c r="C21" s="503">
        <f>QRR</f>
        <v>2.2776916051120512E-2</v>
      </c>
      <c r="D21" s="503"/>
      <c r="E21" s="522" t="s">
        <v>244</v>
      </c>
      <c r="F21" s="525">
        <f>IF($C$11="Sim",HLOOKUP(F$8-1,Ativos!$Z$24:$AE$27,MATCH($E21,Ativos!$Y$24:$Y$27,0),FALSE)*QRR,0)</f>
        <v>0</v>
      </c>
      <c r="G21" s="525">
        <f>IF($C$11="Sim",HLOOKUP(G$8-1,Ativos!$Z$24:$AE$27,MATCH($E21,Ativos!$Y$24:$Y$27,0),FALSE)*QRR,0)</f>
        <v>0</v>
      </c>
      <c r="H21" s="525">
        <f>IF($C$11="Sim",HLOOKUP(H$8-1,Ativos!$Z$24:$AE$27,MATCH($E21,Ativos!$Y$24:$Y$27,0),FALSE)*QRR,0)</f>
        <v>0</v>
      </c>
      <c r="I21" s="525">
        <f>IF($C$11="Sim",HLOOKUP(I$8-1,Ativos!$Z$24:$AE$27,MATCH($E21,Ativos!$Y$24:$Y$27,0),FALSE)*QRR,0)</f>
        <v>0</v>
      </c>
      <c r="J21" s="503"/>
      <c r="K21" s="503"/>
    </row>
    <row r="22" spans="1:11" s="2" customFormat="1" ht="5.0999999999999996" customHeight="1">
      <c r="A22" s="503"/>
      <c r="B22" s="503"/>
      <c r="C22" s="503"/>
      <c r="D22" s="503"/>
      <c r="E22" s="526"/>
      <c r="F22" s="527"/>
      <c r="G22" s="527"/>
      <c r="H22" s="527"/>
      <c r="I22" s="527"/>
      <c r="J22" s="503"/>
      <c r="K22" s="503"/>
    </row>
    <row r="23" spans="1:11" s="2" customFormat="1" ht="15" customHeight="1">
      <c r="A23" s="503"/>
      <c r="B23" s="524"/>
      <c r="C23" s="524"/>
      <c r="D23" s="503"/>
      <c r="E23" s="528" t="s">
        <v>212</v>
      </c>
      <c r="F23" s="529">
        <f>SUM(F10:F11,F14:F18)</f>
        <v>1011382006.3675237</v>
      </c>
      <c r="G23" s="529">
        <f t="shared" ref="G23:I23" si="3">SUM(G10:G11,G14:G18)</f>
        <v>925143778.88187301</v>
      </c>
      <c r="H23" s="529">
        <f t="shared" si="3"/>
        <v>901381752.7379626</v>
      </c>
      <c r="I23" s="529">
        <f t="shared" si="3"/>
        <v>877999162.85204065</v>
      </c>
      <c r="J23" s="503"/>
      <c r="K23" s="503"/>
    </row>
    <row r="24" spans="1:11" s="2" customFormat="1" ht="5.0999999999999996" customHeight="1">
      <c r="A24" s="503"/>
      <c r="B24" s="503"/>
      <c r="C24" s="503"/>
      <c r="D24" s="503"/>
      <c r="E24" s="526"/>
      <c r="F24" s="530"/>
      <c r="G24" s="503"/>
      <c r="H24" s="530"/>
      <c r="I24" s="530"/>
      <c r="J24" s="503"/>
      <c r="K24" s="503"/>
    </row>
    <row r="25" spans="1:11" s="2" customFormat="1" ht="15" customHeight="1">
      <c r="A25" s="503"/>
      <c r="B25" s="524"/>
      <c r="C25" s="503"/>
      <c r="D25" s="503"/>
      <c r="E25" s="528" t="s">
        <v>235</v>
      </c>
      <c r="F25" s="529">
        <f>(F59/(1+OR))*OR</f>
        <v>16990380.580983154</v>
      </c>
      <c r="G25" s="529">
        <f>(G59/(1+OR))*OR</f>
        <v>15541649.739040365</v>
      </c>
      <c r="H25" s="529">
        <f>(H59/(1+OR))*OR</f>
        <v>15142467.367771639</v>
      </c>
      <c r="I25" s="529">
        <f>(I59/(1+OR))*OR</f>
        <v>14749659.211575814</v>
      </c>
      <c r="J25" s="503"/>
      <c r="K25" s="503"/>
    </row>
    <row r="26" spans="1:11" s="2" customFormat="1" ht="5.0999999999999996" customHeight="1">
      <c r="A26" s="503"/>
      <c r="B26" s="503"/>
      <c r="C26" s="503"/>
      <c r="D26" s="503"/>
      <c r="E26" s="531"/>
      <c r="F26" s="532"/>
      <c r="G26" s="532"/>
      <c r="H26" s="532"/>
      <c r="I26" s="532"/>
      <c r="J26" s="503"/>
      <c r="K26" s="503"/>
    </row>
    <row r="27" spans="1:11" s="2" customFormat="1" ht="15" customHeight="1">
      <c r="A27" s="503"/>
      <c r="B27" s="524"/>
      <c r="C27" s="503"/>
      <c r="D27" s="503"/>
      <c r="E27" s="528" t="s">
        <v>213</v>
      </c>
      <c r="F27" s="529">
        <f>F23-F25</f>
        <v>994391625.78654051</v>
      </c>
      <c r="G27" s="529">
        <f t="shared" ref="G27:I27" si="4">G23-G25</f>
        <v>909602129.14283264</v>
      </c>
      <c r="H27" s="529">
        <f t="shared" si="4"/>
        <v>886239285.37019098</v>
      </c>
      <c r="I27" s="529">
        <f t="shared" si="4"/>
        <v>863249503.64046478</v>
      </c>
      <c r="J27" s="503"/>
      <c r="K27" s="503"/>
    </row>
    <row r="28" spans="1:11" s="2" customFormat="1" ht="5.0999999999999996" customHeight="1">
      <c r="A28" s="503"/>
      <c r="B28" s="503"/>
      <c r="C28" s="503"/>
      <c r="D28" s="503"/>
      <c r="E28" s="526"/>
      <c r="F28" s="533"/>
      <c r="G28" s="533"/>
      <c r="H28" s="530"/>
      <c r="I28" s="533"/>
      <c r="J28" s="503"/>
      <c r="K28" s="503"/>
    </row>
    <row r="29" spans="1:11" s="2" customFormat="1" ht="15" customHeight="1">
      <c r="A29" s="503"/>
      <c r="B29" s="524"/>
      <c r="C29" s="503"/>
      <c r="D29" s="503"/>
      <c r="E29" s="528" t="s">
        <v>211</v>
      </c>
      <c r="F29" s="534">
        <f>IF($C$10="Projeções SANESUL",Mercado!#REF!,Mercado!K37)</f>
        <v>143936510.41167021</v>
      </c>
      <c r="G29" s="534">
        <f>IF($C$10="Projeções SANESUL",Mercado!#REF!,Mercado!L37)</f>
        <v>148254605.72402033</v>
      </c>
      <c r="H29" s="534">
        <f>IF($C$10="Projeções SANESUL",Mercado!#REF!,Mercado!M37)</f>
        <v>152702243.89574096</v>
      </c>
      <c r="I29" s="534">
        <f>IF($C$10="Projeções SANESUL",Mercado!#REF!,Mercado!N37)</f>
        <v>157283311.2126132</v>
      </c>
      <c r="J29" s="503"/>
      <c r="K29" s="503"/>
    </row>
    <row r="30" spans="1:11" s="2" customFormat="1" ht="5.0999999999999996" customHeight="1">
      <c r="A30" s="503"/>
      <c r="B30" s="503"/>
      <c r="C30" s="503"/>
      <c r="D30" s="503"/>
      <c r="E30" s="531"/>
      <c r="F30" s="535"/>
      <c r="G30" s="535"/>
      <c r="H30" s="535"/>
      <c r="I30" s="535"/>
      <c r="J30" s="503"/>
      <c r="K30" s="503"/>
    </row>
    <row r="31" spans="1:11" s="2" customFormat="1" ht="5.0999999999999996" customHeight="1">
      <c r="A31" s="503"/>
      <c r="B31" s="503"/>
      <c r="C31" s="503"/>
      <c r="D31" s="503"/>
      <c r="E31" s="536"/>
      <c r="F31" s="537"/>
      <c r="G31" s="537"/>
      <c r="H31" s="537"/>
      <c r="I31" s="538"/>
      <c r="J31" s="538"/>
      <c r="K31" s="539"/>
    </row>
    <row r="32" spans="1:11" s="2" customFormat="1" ht="15" customHeight="1">
      <c r="A32" s="503"/>
      <c r="B32" s="503"/>
      <c r="C32" s="503"/>
      <c r="D32" s="503"/>
      <c r="E32" s="540" t="s">
        <v>446</v>
      </c>
      <c r="F32" s="541">
        <f>F33/(1-F34)</f>
        <v>0.12341955589604259</v>
      </c>
      <c r="G32" s="503"/>
      <c r="H32" s="540"/>
      <c r="I32" s="542"/>
      <c r="J32" s="542"/>
      <c r="K32" s="543"/>
    </row>
    <row r="33" spans="1:11" s="2" customFormat="1" ht="15" customHeight="1">
      <c r="A33" s="503"/>
      <c r="B33" s="503"/>
      <c r="C33" s="503"/>
      <c r="D33" s="503"/>
      <c r="E33" s="540" t="s">
        <v>445</v>
      </c>
      <c r="F33" s="541">
        <v>8.1456906891388098E-2</v>
      </c>
      <c r="G33" s="503"/>
      <c r="H33" s="503"/>
      <c r="I33" s="542"/>
      <c r="J33" s="542"/>
      <c r="K33" s="543"/>
    </row>
    <row r="34" spans="1:11" s="2" customFormat="1" ht="15" customHeight="1">
      <c r="A34" s="503"/>
      <c r="B34" s="503"/>
      <c r="C34" s="503"/>
      <c r="D34" s="503"/>
      <c r="E34" s="544" t="s">
        <v>444</v>
      </c>
      <c r="F34" s="545">
        <v>0.34</v>
      </c>
      <c r="G34" s="503"/>
      <c r="H34" s="503"/>
      <c r="I34" s="542"/>
      <c r="J34" s="542"/>
      <c r="K34" s="543"/>
    </row>
    <row r="35" spans="1:11" s="2" customFormat="1" ht="5.0999999999999996" customHeight="1">
      <c r="A35" s="503"/>
      <c r="B35" s="503"/>
      <c r="C35" s="503"/>
      <c r="D35" s="503"/>
      <c r="E35" s="504"/>
      <c r="F35" s="546"/>
      <c r="G35" s="504"/>
      <c r="H35" s="546"/>
      <c r="I35" s="504"/>
      <c r="J35" s="504"/>
      <c r="K35" s="504"/>
    </row>
    <row r="36" spans="1:11" s="2" customFormat="1" ht="15" customHeight="1">
      <c r="A36" s="503"/>
      <c r="B36" s="503"/>
      <c r="C36" s="503"/>
      <c r="D36" s="503"/>
      <c r="E36" s="540" t="s">
        <v>254</v>
      </c>
      <c r="F36" s="541">
        <f>1.5%</f>
        <v>1.4999999999999999E-2</v>
      </c>
      <c r="G36" s="503"/>
      <c r="H36" s="503"/>
      <c r="I36" s="542"/>
      <c r="J36" s="542"/>
      <c r="K36" s="547"/>
    </row>
    <row r="37" spans="1:11" s="2" customFormat="1" ht="5.0999999999999996" customHeight="1">
      <c r="A37" s="503"/>
      <c r="B37" s="503"/>
      <c r="C37" s="503"/>
      <c r="D37" s="503"/>
      <c r="E37" s="504"/>
      <c r="F37" s="546"/>
      <c r="G37" s="504"/>
      <c r="H37" s="546"/>
      <c r="I37" s="504"/>
      <c r="J37" s="504"/>
      <c r="K37" s="504"/>
    </row>
    <row r="38" spans="1:11" s="2" customFormat="1" ht="15" customHeight="1">
      <c r="A38" s="503"/>
      <c r="B38" s="503"/>
      <c r="C38" s="503"/>
      <c r="D38" s="503"/>
      <c r="E38" s="548" t="s">
        <v>218</v>
      </c>
      <c r="F38" s="549">
        <f>NPV(WACC,$F$27:$I$27)/NPV(WACC,$F$29:$I$29)</f>
        <v>6.1121387107366116</v>
      </c>
      <c r="G38" s="504"/>
      <c r="H38" s="504"/>
      <c r="I38" s="504"/>
      <c r="J38" s="504"/>
      <c r="K38" s="504"/>
    </row>
    <row r="39" spans="1:11" ht="5.0999999999999996" customHeight="1">
      <c r="E39" s="550"/>
    </row>
    <row r="40" spans="1:11" s="2" customFormat="1" ht="15" customHeight="1">
      <c r="A40" s="503"/>
      <c r="B40" s="503"/>
      <c r="C40" s="503"/>
      <c r="D40" s="503"/>
      <c r="E40" s="548" t="s">
        <v>219</v>
      </c>
      <c r="F40" s="551">
        <f>F29*$F$38</f>
        <v>879759917.17551279</v>
      </c>
      <c r="G40" s="551">
        <f t="shared" ref="G40:I40" si="5">G29*$F$38</f>
        <v>906152714.69077837</v>
      </c>
      <c r="H40" s="551">
        <f t="shared" si="5"/>
        <v>933337296.13150179</v>
      </c>
      <c r="I40" s="551">
        <f t="shared" si="5"/>
        <v>961337415.0154469</v>
      </c>
      <c r="J40" s="552"/>
      <c r="K40" s="504"/>
    </row>
    <row r="41" spans="1:11" ht="5.0999999999999996" customHeight="1">
      <c r="E41" s="550"/>
    </row>
    <row r="42" spans="1:11" s="2" customFormat="1" ht="15" customHeight="1">
      <c r="A42" s="503"/>
      <c r="B42" s="503"/>
      <c r="C42" s="503"/>
      <c r="D42" s="503"/>
      <c r="E42" s="540" t="s">
        <v>433</v>
      </c>
      <c r="F42" s="553">
        <f>NPV(F33,$F$40:$I$40)-NPV(F33,$F$27:$I$27)</f>
        <v>0</v>
      </c>
      <c r="G42" s="554"/>
      <c r="H42" s="555"/>
      <c r="I42" s="552"/>
      <c r="J42" s="552"/>
      <c r="K42" s="504"/>
    </row>
    <row r="43" spans="1:11" s="2" customFormat="1" ht="15" customHeight="1">
      <c r="A43" s="503"/>
      <c r="B43" s="503"/>
      <c r="C43" s="503"/>
      <c r="D43" s="503"/>
      <c r="E43" s="540"/>
      <c r="F43" s="553"/>
      <c r="G43" s="554">
        <f>G45/F45</f>
        <v>8.4699999999999998E-2</v>
      </c>
      <c r="H43" s="555">
        <v>8.4664444387587107E-2</v>
      </c>
      <c r="I43" s="552"/>
      <c r="J43" s="552"/>
      <c r="K43" s="504"/>
    </row>
    <row r="44" spans="1:11" s="284" customFormat="1" ht="15" customHeight="1">
      <c r="A44" s="503"/>
      <c r="B44" s="503"/>
      <c r="C44" s="503"/>
      <c r="D44" s="503"/>
      <c r="E44" s="513" t="s">
        <v>639</v>
      </c>
      <c r="F44" s="513" t="s">
        <v>11</v>
      </c>
      <c r="G44" s="556" t="s">
        <v>233</v>
      </c>
      <c r="H44" s="556" t="s">
        <v>450</v>
      </c>
      <c r="I44" s="557"/>
      <c r="J44" s="557"/>
      <c r="K44" s="557"/>
    </row>
    <row r="45" spans="1:11" s="284" customFormat="1" ht="15" customHeight="1">
      <c r="A45" s="503"/>
      <c r="B45" s="503"/>
      <c r="C45" s="503"/>
      <c r="D45" s="503"/>
      <c r="E45" s="558" t="s">
        <v>474</v>
      </c>
      <c r="F45" s="559">
        <f>64194331.43*(1+(SUM(IPCA!D354:D377)/100))</f>
        <v>70087371.05527401</v>
      </c>
      <c r="G45" s="559">
        <f>F45*0.0847</f>
        <v>5936400.3283817088</v>
      </c>
      <c r="H45" s="560">
        <f>F45-G45</f>
        <v>64150970.7268923</v>
      </c>
      <c r="I45" s="557"/>
      <c r="J45" s="557"/>
      <c r="K45" s="557"/>
    </row>
    <row r="46" spans="1:11" s="284" customFormat="1" ht="15" customHeight="1">
      <c r="A46" s="503"/>
      <c r="B46" s="503"/>
      <c r="C46" s="503"/>
      <c r="D46" s="503"/>
      <c r="E46" s="558" t="s">
        <v>477</v>
      </c>
      <c r="F46" s="561">
        <f>'BD Outras Receitas'!H41</f>
        <v>9.5586165331860568E-2</v>
      </c>
      <c r="G46" s="562">
        <f>$F$46</f>
        <v>9.5586165331860568E-2</v>
      </c>
      <c r="H46" s="562">
        <f>$F$46</f>
        <v>9.5586165331860568E-2</v>
      </c>
      <c r="I46" s="557"/>
      <c r="J46" s="557"/>
      <c r="K46" s="557"/>
    </row>
    <row r="47" spans="1:11" s="284" customFormat="1" ht="15" customHeight="1">
      <c r="A47" s="503"/>
      <c r="B47" s="503"/>
      <c r="C47" s="503"/>
      <c r="D47" s="503"/>
      <c r="E47" s="558" t="s">
        <v>475</v>
      </c>
      <c r="F47" s="559">
        <f>F45*(1-F46)</f>
        <v>63387988.017909124</v>
      </c>
      <c r="G47" s="560">
        <f t="shared" ref="G47:H47" si="6">G45*(1-G46)</f>
        <v>5368962.5851169033</v>
      </c>
      <c r="H47" s="560">
        <f t="shared" si="6"/>
        <v>58019025.432792224</v>
      </c>
      <c r="I47" s="557"/>
      <c r="J47" s="557"/>
      <c r="K47" s="557"/>
    </row>
    <row r="48" spans="1:11" s="284" customFormat="1" ht="15" customHeight="1">
      <c r="A48" s="503"/>
      <c r="B48" s="503"/>
      <c r="C48" s="503"/>
      <c r="D48" s="503"/>
      <c r="E48" s="558" t="s">
        <v>478</v>
      </c>
      <c r="F48" s="559">
        <f>Mercado!J35/12</f>
        <v>7566756.6883187257</v>
      </c>
      <c r="G48" s="559">
        <v>619376</v>
      </c>
      <c r="H48" s="560">
        <f t="shared" ref="H48:H49" si="7">F48-G48</f>
        <v>6947380.6883187257</v>
      </c>
      <c r="I48" s="557"/>
      <c r="J48" s="557"/>
      <c r="K48" s="557"/>
    </row>
    <row r="49" spans="1:11" s="284" customFormat="1" ht="15" customHeight="1">
      <c r="A49" s="503"/>
      <c r="B49" s="503"/>
      <c r="C49" s="503"/>
      <c r="D49" s="503"/>
      <c r="E49" s="558" t="s">
        <v>479</v>
      </c>
      <c r="F49" s="559">
        <f>Mercado!J36/12</f>
        <v>3632043.2103929878</v>
      </c>
      <c r="G49" s="559">
        <v>479487</v>
      </c>
      <c r="H49" s="560">
        <f t="shared" si="7"/>
        <v>3152556.2103929878</v>
      </c>
      <c r="I49" s="557"/>
      <c r="J49" s="557"/>
      <c r="K49" s="557"/>
    </row>
    <row r="50" spans="1:11" s="284" customFormat="1" ht="15" customHeight="1">
      <c r="A50" s="503"/>
      <c r="B50" s="503"/>
      <c r="C50" s="503"/>
      <c r="D50" s="503"/>
      <c r="E50" s="516" t="s">
        <v>476</v>
      </c>
      <c r="F50" s="563">
        <f>F47/(F48+F49)</f>
        <v>5.6602482936766423</v>
      </c>
      <c r="G50" s="563">
        <f>G47/(G48+G49)</f>
        <v>4.8859253474881799</v>
      </c>
      <c r="H50" s="563">
        <f>H47/(H48+H49)</f>
        <v>5.7444938532430614</v>
      </c>
      <c r="I50" s="557"/>
      <c r="J50" s="557"/>
      <c r="K50" s="557"/>
    </row>
    <row r="51" spans="1:11" s="284" customFormat="1" ht="15" customHeight="1">
      <c r="A51" s="503"/>
      <c r="B51" s="503"/>
      <c r="C51" s="503"/>
      <c r="D51" s="503"/>
      <c r="E51" s="558" t="s">
        <v>452</v>
      </c>
      <c r="F51" s="560" t="s">
        <v>0</v>
      </c>
      <c r="G51" s="564">
        <v>45717</v>
      </c>
      <c r="H51" s="564">
        <v>45748</v>
      </c>
      <c r="I51" s="557"/>
      <c r="J51" s="557"/>
      <c r="K51" s="557"/>
    </row>
    <row r="52" spans="1:11" s="2" customFormat="1" ht="15" customHeight="1">
      <c r="A52" s="503"/>
      <c r="B52" s="503"/>
      <c r="C52" s="503"/>
      <c r="D52" s="503"/>
      <c r="E52" s="558" t="s">
        <v>453</v>
      </c>
      <c r="F52" s="560" t="s">
        <v>0</v>
      </c>
      <c r="G52" s="562">
        <f>VLOOKUP(DATA_BASE,IPCA!$B$5:$C$382,2,FALSE)/VLOOKUP(G$51,IPCA!$B$5:$C$382,2,FALSE)-1</f>
        <v>2.8023995980887006E-2</v>
      </c>
      <c r="H52" s="562">
        <f>VLOOKUP(DATA_BASE,IPCA!$B$5:$C$382,2,FALSE)/VLOOKUP(H$51,IPCA!$B$5:$C$382,2,FALSE)-1</f>
        <v>2.3621735055397108E-2</v>
      </c>
      <c r="I52" s="565"/>
      <c r="J52" s="552"/>
      <c r="K52" s="504"/>
    </row>
    <row r="53" spans="1:11" s="2" customFormat="1" ht="15" customHeight="1">
      <c r="A53" s="503"/>
      <c r="B53" s="503"/>
      <c r="C53" s="503"/>
      <c r="D53" s="503"/>
      <c r="E53" s="558" t="s">
        <v>488</v>
      </c>
      <c r="F53" s="560">
        <f>(G47*(1+G52)+H47*(1+H52))/(F48+F49)</f>
        <v>5.7960637244914732</v>
      </c>
      <c r="G53" s="560">
        <f>G50*(1+G52)</f>
        <v>5.0228484997891023</v>
      </c>
      <c r="H53" s="560">
        <f>H50*(1+H52)</f>
        <v>5.8801887650717264</v>
      </c>
      <c r="I53" s="565"/>
      <c r="J53" s="552"/>
      <c r="K53" s="504"/>
    </row>
    <row r="54" spans="1:11" s="2" customFormat="1" ht="15" customHeight="1">
      <c r="A54" s="503"/>
      <c r="B54" s="503"/>
      <c r="C54" s="503"/>
      <c r="D54" s="503"/>
      <c r="E54" s="566" t="s">
        <v>449</v>
      </c>
      <c r="F54" s="503"/>
      <c r="G54" s="567"/>
      <c r="H54" s="565"/>
      <c r="I54" s="565"/>
      <c r="J54" s="552"/>
      <c r="K54" s="504"/>
    </row>
    <row r="55" spans="1:11" ht="5.0999999999999996" customHeight="1">
      <c r="E55" s="550"/>
    </row>
    <row r="56" spans="1:11" s="2" customFormat="1" ht="15" customHeight="1">
      <c r="A56" s="503"/>
      <c r="B56" s="503"/>
      <c r="C56" s="503"/>
      <c r="D56" s="503"/>
      <c r="E56" s="540" t="s">
        <v>447</v>
      </c>
      <c r="F56" s="541">
        <f>F38/F50-1</f>
        <v>7.9835794052497633E-2</v>
      </c>
      <c r="G56" s="568" t="s">
        <v>546</v>
      </c>
      <c r="H56" s="555"/>
      <c r="I56" s="565"/>
      <c r="J56" s="552"/>
      <c r="K56" s="504"/>
    </row>
    <row r="57" spans="1:11" s="2" customFormat="1" ht="15" customHeight="1">
      <c r="A57" s="503"/>
      <c r="B57" s="503"/>
      <c r="C57" s="503"/>
      <c r="D57" s="503"/>
      <c r="E57" s="544" t="s">
        <v>451</v>
      </c>
      <c r="F57" s="545">
        <f>$F$38*(F48+F49)/(G47*(1+G52)+H47*(1+H52))-1</f>
        <v>5.4532696890400301E-2</v>
      </c>
      <c r="G57" s="503"/>
      <c r="H57" s="555"/>
      <c r="I57" s="565"/>
      <c r="J57" s="552"/>
      <c r="K57" s="504"/>
    </row>
    <row r="58" spans="1:11" s="2" customFormat="1" ht="15" customHeight="1">
      <c r="A58" s="503"/>
      <c r="B58" s="503"/>
      <c r="C58" s="503"/>
      <c r="D58" s="503"/>
      <c r="E58" s="540"/>
      <c r="F58" s="569"/>
      <c r="G58" s="554"/>
      <c r="H58" s="555"/>
      <c r="I58" s="565"/>
      <c r="J58" s="552"/>
      <c r="K58" s="504"/>
    </row>
    <row r="59" spans="1:11" ht="15.6" customHeight="1">
      <c r="B59" s="595"/>
      <c r="E59" s="570" t="s">
        <v>209</v>
      </c>
      <c r="F59" s="571">
        <f>SUM(F$10,F$12,F$14,F$16,F$18)*(1+OR)/(1-HLOOKUP(F$8,'Receitas Irrecuperáveis'!$B$6:$G$7,2,FALSE)-INDEX(Ativos!$C$21:$H$21,1,MATCH(F$8,Ativos!$C$12:$H$12,0))*WACC_AntesImpostos-TRS*(1+OR)+OR)</f>
        <v>1011382006.3675237</v>
      </c>
      <c r="G59" s="571">
        <f>SUM(G$10,G$12,G$14,G$16,G$18)*(1+OR)/(1-HLOOKUP(G$8,'Receitas Irrecuperáveis'!$B$6:$G$7,2,FALSE)-INDEX(Ativos!$C$21:$H$21,1,MATCH(G$8,Ativos!$C$12:$H$12,0))*WACC_AntesImpostos-TRS*(1+OR)+OR)</f>
        <v>925143778.88187289</v>
      </c>
      <c r="H59" s="571">
        <f>SUM(H$10,H$12,H$14,H$16,H$18)*(1+OR)/(1-HLOOKUP(H$8,'Receitas Irrecuperáveis'!$B$6:$G$7,2,FALSE)-INDEX(Ativos!$C$21:$H$21,1,MATCH(H$8,Ativos!$C$12:$H$12,0))*WACC_AntesImpostos-TRS*(1+OR)+OR)</f>
        <v>901381752.73796248</v>
      </c>
      <c r="I59" s="571">
        <f>SUM(I$10,I$12,I$14,I$16,I$18)*(1+OR)/(1-HLOOKUP(I$8,'Receitas Irrecuperáveis'!$B$6:$G$7,2,FALSE)-INDEX(Ativos!$C$21:$H$21,1,MATCH(I$8,Ativos!$C$12:$H$12,0))*WACC_AntesImpostos-TRS*(1+OR)+OR)</f>
        <v>877999162.85204053</v>
      </c>
    </row>
    <row r="60" spans="1:11" ht="15" customHeight="1">
      <c r="B60" s="595"/>
      <c r="E60" s="570"/>
      <c r="F60" s="570"/>
      <c r="G60" s="570"/>
      <c r="H60" s="570"/>
      <c r="I60" s="570"/>
    </row>
    <row r="61" spans="1:11" ht="15" customHeight="1">
      <c r="B61" s="595"/>
      <c r="E61" s="570" t="s">
        <v>217</v>
      </c>
      <c r="F61" s="570"/>
      <c r="G61" s="570"/>
      <c r="H61" s="570"/>
      <c r="I61" s="570"/>
    </row>
    <row r="62" spans="1:11" ht="15" customHeight="1">
      <c r="B62" s="595"/>
      <c r="E62" s="570" t="s">
        <v>255</v>
      </c>
      <c r="F62" s="572">
        <f>F13/WACC_AntesImpostos/F27</f>
        <v>3.1399999999999997E-2</v>
      </c>
      <c r="G62" s="572">
        <f>G13/WACC_AntesImpostos/G27</f>
        <v>3.139999999999999E-2</v>
      </c>
      <c r="H62" s="572">
        <f>H13/WACC_AntesImpostos/H27</f>
        <v>3.1399999999999997E-2</v>
      </c>
      <c r="I62" s="572">
        <f>I13/WACC_AntesImpostos/I27</f>
        <v>3.1399999999999997E-2</v>
      </c>
    </row>
    <row r="63" spans="1:11" ht="15" customHeight="1">
      <c r="B63" s="595"/>
      <c r="E63" s="570" t="s">
        <v>256</v>
      </c>
      <c r="F63" s="573">
        <f>F15/F23</f>
        <v>1.4999999999999999E-2</v>
      </c>
      <c r="G63" s="573">
        <f t="shared" ref="G63:I63" si="8">G15/G23</f>
        <v>1.4999999999999998E-2</v>
      </c>
      <c r="H63" s="573">
        <f t="shared" si="8"/>
        <v>1.4999999999999998E-2</v>
      </c>
      <c r="I63" s="573">
        <f t="shared" si="8"/>
        <v>1.4999999999999998E-2</v>
      </c>
    </row>
    <row r="64" spans="1:11" ht="15" customHeight="1">
      <c r="B64" s="595"/>
      <c r="E64" s="570" t="s">
        <v>257</v>
      </c>
      <c r="F64" s="572">
        <f>F17/F27</f>
        <v>2.4958301813928521E-2</v>
      </c>
      <c r="G64" s="572">
        <f t="shared" ref="G64:I64" si="9">G17/G27</f>
        <v>1.9916603627857039E-2</v>
      </c>
      <c r="H64" s="572">
        <f t="shared" si="9"/>
        <v>1.4874905441785559E-2</v>
      </c>
      <c r="I64" s="572">
        <f t="shared" si="9"/>
        <v>9.8332072557140836E-3</v>
      </c>
    </row>
    <row r="65" spans="2:9" ht="15" customHeight="1">
      <c r="B65" s="595"/>
      <c r="E65" s="570" t="s">
        <v>258</v>
      </c>
      <c r="F65" s="572">
        <f>F25/F27</f>
        <v>1.7086206420477607E-2</v>
      </c>
      <c r="G65" s="572">
        <f t="shared" ref="G65:I65" si="10">G25/G27</f>
        <v>1.7086206420477604E-2</v>
      </c>
      <c r="H65" s="572">
        <f t="shared" si="10"/>
        <v>1.70862064204776E-2</v>
      </c>
      <c r="I65" s="572">
        <f t="shared" si="10"/>
        <v>1.7086206420477604E-2</v>
      </c>
    </row>
    <row r="66" spans="2:9" ht="15" customHeight="1">
      <c r="B66" s="595"/>
      <c r="F66" s="574"/>
    </row>
  </sheetData>
  <sheetProtection algorithmName="SHA-512" hashValue="+Ef5gaXK2zGf6I5NgolYbbLMH2dNbWvBzMASa/Uwo1/xdVzKYpBrK2/w6g96XQ3FYWgDmqyWkaW5PMXR5Nv9Sg==" saltValue="TJRagvUJMz1uJAWqW7yhuA==" spinCount="100000" sheet="1" objects="1" scenarios="1" selectLockedCells="1" selectUnlockedCells="1"/>
  <mergeCells count="7">
    <mergeCell ref="F7:I7"/>
    <mergeCell ref="E7:E8"/>
    <mergeCell ref="B1:E1"/>
    <mergeCell ref="B59:B66"/>
    <mergeCell ref="B5:C5"/>
    <mergeCell ref="B13:B14"/>
    <mergeCell ref="C13:C14"/>
  </mergeCells>
  <conditionalFormatting sqref="C10:C13">
    <cfRule type="expression" dxfId="155" priority="1">
      <formula>C10&lt;0</formula>
    </cfRule>
  </conditionalFormatting>
  <conditionalFormatting sqref="C15">
    <cfRule type="expression" dxfId="154" priority="2">
      <formula>C15&lt;0</formula>
    </cfRule>
  </conditionalFormatting>
  <conditionalFormatting sqref="E11:E13">
    <cfRule type="expression" dxfId="153" priority="45">
      <formula>E11&lt;0</formula>
    </cfRule>
  </conditionalFormatting>
  <conditionalFormatting sqref="E15:E16">
    <cfRule type="expression" dxfId="152" priority="39">
      <formula>E15&lt;0</formula>
    </cfRule>
  </conditionalFormatting>
  <conditionalFormatting sqref="E32:F34">
    <cfRule type="expression" dxfId="151" priority="26">
      <formula>E32&lt;0</formula>
    </cfRule>
  </conditionalFormatting>
  <conditionalFormatting sqref="E36:F36">
    <cfRule type="expression" dxfId="150" priority="33">
      <formula>E36&lt;0</formula>
    </cfRule>
  </conditionalFormatting>
  <conditionalFormatting sqref="E56:F58">
    <cfRule type="expression" dxfId="149" priority="17">
      <formula>E56&lt;0</formula>
    </cfRule>
  </conditionalFormatting>
  <conditionalFormatting sqref="E45:H53">
    <cfRule type="expression" dxfId="148" priority="3">
      <formula>E45&lt;0</formula>
    </cfRule>
  </conditionalFormatting>
  <conditionalFormatting sqref="E10:I10 E14:I14 E17:I21 E23:I23 E25:I25 E27:I27 E29:I30 H32 E42:F43 F46:H47">
    <cfRule type="expression" dxfId="147" priority="57">
      <formula>E10&lt;0</formula>
    </cfRule>
  </conditionalFormatting>
  <conditionalFormatting sqref="F38">
    <cfRule type="expression" dxfId="146" priority="27">
      <formula>F38&lt;0</formula>
    </cfRule>
  </conditionalFormatting>
  <conditionalFormatting sqref="F60:F61">
    <cfRule type="expression" dxfId="145" priority="42">
      <formula>F60&lt;0</formula>
    </cfRule>
  </conditionalFormatting>
  <conditionalFormatting sqref="F10:I16">
    <cfRule type="expression" dxfId="144" priority="37">
      <formula>F10&lt;0</formula>
    </cfRule>
  </conditionalFormatting>
  <conditionalFormatting sqref="F40:I40">
    <cfRule type="expression" dxfId="143" priority="40">
      <formula>F40&lt;0</formula>
    </cfRule>
  </conditionalFormatting>
  <conditionalFormatting sqref="H52:H53">
    <cfRule type="expression" dxfId="142" priority="14">
      <formula>H52&lt;0</formula>
    </cfRule>
  </conditionalFormatting>
  <conditionalFormatting sqref="I44:XFD51 I51:I53">
    <cfRule type="expression" dxfId="141" priority="23">
      <formula>I44&lt;0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ignoredErrors>
    <ignoredError sqref="F60:H65 G59:H59" evalError="1"/>
    <ignoredError sqref="F56:F57 F10:I22 F28:I35 F23 F27 F44:I54 F43 H43:I43 F37:I42 G36:I36" unlockedFormula="1"/>
    <ignoredError sqref="G27:I27 G23:I23 F24:I26" evalError="1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AUX!$C$2:$D$2</xm:f>
          </x14:formula1>
          <xm:sqref>C10</xm:sqref>
        </x14:dataValidation>
        <x14:dataValidation type="list" allowBlank="1" showInputMessage="1" showErrorMessage="1">
          <x14:formula1>
            <xm:f>AUX!$C$3:$D$3</xm:f>
          </x14:formula1>
          <xm:sqref>C11</xm:sqref>
        </x14:dataValidation>
        <x14:dataValidation type="list" allowBlank="1" showInputMessage="1" showErrorMessage="1">
          <x14:formula1>
            <xm:f>AUX!$C$4:$D$4</xm:f>
          </x14:formula1>
          <xm:sqref>C12</xm:sqref>
        </x14:dataValidation>
        <x14:dataValidation type="list" allowBlank="1" showInputMessage="1" showErrorMessage="1">
          <x14:formula1>
            <xm:f>AUX!$C$5:$E$5</xm:f>
          </x14:formula1>
          <xm:sqref>C13</xm:sqref>
        </x14:dataValidation>
        <x14:dataValidation type="list" allowBlank="1" showInputMessage="1" showErrorMessage="1">
          <x14:formula1>
            <xm:f>AUX!$C$6:$D$6</xm:f>
          </x14:formula1>
          <xm:sqref>C15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2:E6"/>
  <sheetViews>
    <sheetView showGridLines="0" workbookViewId="0">
      <selection activeCell="C5" sqref="C5"/>
    </sheetView>
  </sheetViews>
  <sheetFormatPr defaultRowHeight="15"/>
  <cols>
    <col min="2" max="2" width="32.5703125" bestFit="1" customWidth="1"/>
    <col min="3" max="3" width="18.85546875" customWidth="1"/>
    <col min="4" max="4" width="15.42578125" bestFit="1" customWidth="1"/>
  </cols>
  <sheetData>
    <row r="2" spans="2:5">
      <c r="B2" s="261" t="s">
        <v>419</v>
      </c>
      <c r="C2" s="251" t="s">
        <v>371</v>
      </c>
      <c r="D2" s="251" t="s">
        <v>372</v>
      </c>
    </row>
    <row r="3" spans="2:5">
      <c r="B3" s="262" t="s">
        <v>370</v>
      </c>
      <c r="C3" s="251" t="s">
        <v>373</v>
      </c>
      <c r="D3" s="251" t="s">
        <v>374</v>
      </c>
    </row>
    <row r="4" spans="2:5">
      <c r="B4" s="263" t="s">
        <v>376</v>
      </c>
      <c r="C4" s="251" t="s">
        <v>377</v>
      </c>
      <c r="D4" s="251" t="s">
        <v>378</v>
      </c>
    </row>
    <row r="5" spans="2:5">
      <c r="B5" s="263" t="s">
        <v>499</v>
      </c>
      <c r="C5" s="251" t="s">
        <v>543</v>
      </c>
      <c r="D5" s="251" t="s">
        <v>542</v>
      </c>
      <c r="E5" s="251" t="s">
        <v>372</v>
      </c>
    </row>
    <row r="6" spans="2:5">
      <c r="B6" s="263" t="s">
        <v>498</v>
      </c>
      <c r="C6" s="251" t="s">
        <v>500</v>
      </c>
      <c r="D6" s="251" t="s">
        <v>372</v>
      </c>
    </row>
  </sheetData>
  <conditionalFormatting sqref="B9:B13">
    <cfRule type="expression" dxfId="21" priority="1">
      <formula>B9&lt;0</formula>
    </cfRule>
  </conditionalFormatting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3:F31"/>
  <sheetViews>
    <sheetView showGridLines="0" zoomScale="70" zoomScaleNormal="70" workbookViewId="0">
      <selection activeCell="B3" sqref="B3:F31"/>
    </sheetView>
  </sheetViews>
  <sheetFormatPr defaultRowHeight="15"/>
  <cols>
    <col min="2" max="2" width="49.85546875" bestFit="1" customWidth="1"/>
    <col min="3" max="6" width="11.7109375" customWidth="1"/>
    <col min="9" max="9" width="14" bestFit="1" customWidth="1"/>
    <col min="10" max="15" width="4.5703125" bestFit="1" customWidth="1"/>
  </cols>
  <sheetData>
    <row r="3" spans="2:6">
      <c r="B3" s="635" t="str">
        <f>Resultados!E7</f>
        <v>Despesas Eficientes</v>
      </c>
      <c r="C3" s="637" t="str">
        <f>Resultados!F7</f>
        <v>Ciclo Tarifário (R$)</v>
      </c>
      <c r="D3" s="638">
        <f>Resultados!G7</f>
        <v>0</v>
      </c>
      <c r="E3" s="638">
        <f>Resultados!H7</f>
        <v>0</v>
      </c>
      <c r="F3" s="639">
        <f>Resultados!I7</f>
        <v>0</v>
      </c>
    </row>
    <row r="4" spans="2:6">
      <c r="B4" s="636">
        <f>Resultados!E8</f>
        <v>0</v>
      </c>
      <c r="C4" s="394">
        <f>Resultados!F8</f>
        <v>2026</v>
      </c>
      <c r="D4" s="394">
        <f>Resultados!G8</f>
        <v>2027</v>
      </c>
      <c r="E4" s="394">
        <f>Resultados!H8</f>
        <v>2028</v>
      </c>
      <c r="F4" s="394">
        <f>Resultados!I8</f>
        <v>2029</v>
      </c>
    </row>
    <row r="5" spans="2:6">
      <c r="B5" s="395" t="str">
        <f>Resultados!E10</f>
        <v>(+) Reintegração da BARB</v>
      </c>
      <c r="C5" s="396">
        <f>Resultados!F10</f>
        <v>90035742.91858837</v>
      </c>
      <c r="D5" s="396">
        <f>Resultados!G10</f>
        <v>90035742.91858837</v>
      </c>
      <c r="E5" s="396">
        <f>Resultados!H10</f>
        <v>90035742.91858837</v>
      </c>
      <c r="F5" s="396">
        <f>Resultados!I10</f>
        <v>90035742.91858837</v>
      </c>
    </row>
    <row r="6" spans="2:6">
      <c r="B6" s="395" t="str">
        <f>Resultados!E11</f>
        <v>(+) Remuneração da BRRL</v>
      </c>
      <c r="C6" s="396">
        <f>Resultados!F11</f>
        <v>298371655.09187239</v>
      </c>
      <c r="D6" s="396">
        <f>Resultados!G11</f>
        <v>286930892.67064893</v>
      </c>
      <c r="E6" s="396">
        <f>Resultados!H11</f>
        <v>275728181.50625587</v>
      </c>
      <c r="F6" s="396">
        <f>Resultados!I11</f>
        <v>264526916.09682482</v>
      </c>
    </row>
    <row r="7" spans="2:6">
      <c r="B7" s="397" t="str">
        <f>Resultados!E12</f>
        <v>BARL</v>
      </c>
      <c r="C7" s="396">
        <f>Resultados!F12</f>
        <v>294518015.58465499</v>
      </c>
      <c r="D7" s="396">
        <f>Resultados!G12</f>
        <v>283405844.17887259</v>
      </c>
      <c r="E7" s="396">
        <f>Resultados!H12</f>
        <v>272293672.77309018</v>
      </c>
      <c r="F7" s="396">
        <f>Resultados!I12</f>
        <v>261181501.36730775</v>
      </c>
    </row>
    <row r="8" spans="2:6">
      <c r="B8" s="397" t="str">
        <f>Resultados!E13</f>
        <v>NCG</v>
      </c>
      <c r="C8" s="396">
        <f>Resultados!F13</f>
        <v>3853639.5072174035</v>
      </c>
      <c r="D8" s="396">
        <f>Resultados!G13</f>
        <v>3525048.4917763588</v>
      </c>
      <c r="E8" s="396">
        <f>Resultados!H13</f>
        <v>3434508.7331656744</v>
      </c>
      <c r="F8" s="396">
        <f>Resultados!I13</f>
        <v>3345414.7295170599</v>
      </c>
    </row>
    <row r="9" spans="2:6">
      <c r="B9" s="395" t="str">
        <f>Resultados!E14</f>
        <v>(+) Custos Operacionais → OPEX</v>
      </c>
      <c r="C9" s="396">
        <f>Resultados!F14</f>
        <v>523589543.41263753</v>
      </c>
      <c r="D9" s="396">
        <f>Resultados!G14</f>
        <v>516183801.54421496</v>
      </c>
      <c r="E9" s="396">
        <f>Resultados!H14</f>
        <v>508914376.45337176</v>
      </c>
      <c r="F9" s="396">
        <f>Resultados!I14</f>
        <v>501778005.11115789</v>
      </c>
    </row>
    <row r="10" spans="2:6">
      <c r="B10" s="395" t="str">
        <f>Resultados!E15</f>
        <v>(+) Cobertura Tarifária da TRS</v>
      </c>
      <c r="C10" s="396">
        <f>Resultados!F15</f>
        <v>15170730.095512854</v>
      </c>
      <c r="D10" s="396">
        <f>Resultados!G15</f>
        <v>13877156.683228092</v>
      </c>
      <c r="E10" s="396">
        <f>Resultados!H15</f>
        <v>13520726.291069437</v>
      </c>
      <c r="F10" s="396">
        <f>Resultados!I15</f>
        <v>13169987.442780608</v>
      </c>
    </row>
    <row r="11" spans="2:6">
      <c r="B11" s="395" t="str">
        <f>Resultados!E16</f>
        <v>(+) Contraprestações da PPP</v>
      </c>
      <c r="C11" s="398">
        <f>Resultados!F16</f>
        <v>59396008.531288929</v>
      </c>
      <c r="D11" s="398">
        <f>Resultados!G16</f>
        <v>0</v>
      </c>
      <c r="E11" s="398">
        <f>Resultados!H16</f>
        <v>0</v>
      </c>
      <c r="F11" s="398">
        <f>Resultados!I16</f>
        <v>0</v>
      </c>
    </row>
    <row r="12" spans="2:6">
      <c r="B12" s="395" t="str">
        <f>Resultados!E17</f>
        <v>(+) Receitas Irrecuperáveis (RI)</v>
      </c>
      <c r="C12" s="396">
        <f>Resultados!F17</f>
        <v>24818326.317623544</v>
      </c>
      <c r="D12" s="396">
        <f>Resultados!G17</f>
        <v>18116185.065192629</v>
      </c>
      <c r="E12" s="396">
        <f>Resultados!H17</f>
        <v>13182725.568677198</v>
      </c>
      <c r="F12" s="396">
        <f>Resultados!I17</f>
        <v>8488511.2826889995</v>
      </c>
    </row>
    <row r="13" spans="2:6">
      <c r="B13" s="137" t="str">
        <f>Resultados!E18</f>
        <v>(+) Recursos para reintegração de bens não onerosos</v>
      </c>
      <c r="C13" s="260">
        <f>Resultados!F18</f>
        <v>0</v>
      </c>
      <c r="D13" s="260">
        <f>Resultados!G18</f>
        <v>0</v>
      </c>
      <c r="E13" s="260">
        <f>Resultados!H18</f>
        <v>0</v>
      </c>
      <c r="F13" s="260">
        <f>Resultados!I18</f>
        <v>0</v>
      </c>
    </row>
    <row r="14" spans="2:6">
      <c r="B14" s="136" t="str">
        <f>Resultados!E19</f>
        <v>Não onerosos no Banco Patrimonial</v>
      </c>
      <c r="C14" s="260">
        <f>Resultados!F19</f>
        <v>0</v>
      </c>
      <c r="D14" s="260">
        <f>Resultados!G19</f>
        <v>0</v>
      </c>
      <c r="E14" s="260">
        <f>Resultados!H19</f>
        <v>0</v>
      </c>
      <c r="F14" s="260">
        <f>Resultados!I19</f>
        <v>0</v>
      </c>
    </row>
    <row r="15" spans="2:6">
      <c r="B15" s="136" t="str">
        <f>Resultados!E20</f>
        <v>Ligações de água</v>
      </c>
      <c r="C15" s="260">
        <f>Resultados!F20</f>
        <v>0</v>
      </c>
      <c r="D15" s="260">
        <f>Resultados!G20</f>
        <v>0</v>
      </c>
      <c r="E15" s="260">
        <f>Resultados!H20</f>
        <v>0</v>
      </c>
      <c r="F15" s="260">
        <f>Resultados!I20</f>
        <v>0</v>
      </c>
    </row>
    <row r="16" spans="2:6">
      <c r="B16" s="136" t="str">
        <f>Resultados!E21</f>
        <v>Bens financiados com a TAI</v>
      </c>
      <c r="C16" s="260">
        <f>Resultados!F21</f>
        <v>0</v>
      </c>
      <c r="D16" s="260">
        <f>Resultados!G21</f>
        <v>0</v>
      </c>
      <c r="E16" s="260">
        <f>Resultados!H21</f>
        <v>0</v>
      </c>
      <c r="F16" s="260">
        <f>Resultados!I21</f>
        <v>0</v>
      </c>
    </row>
    <row r="17" spans="2:6">
      <c r="B17" s="399" t="str">
        <f>Resultados!E23</f>
        <v>= Receita Requerida (RR)</v>
      </c>
      <c r="C17" s="400">
        <f>Resultados!F23</f>
        <v>1011382006.3675237</v>
      </c>
      <c r="D17" s="400">
        <f>Resultados!G23</f>
        <v>925143778.88187301</v>
      </c>
      <c r="E17" s="400">
        <f>Resultados!H23</f>
        <v>901381752.7379626</v>
      </c>
      <c r="F17" s="400">
        <f>Resultados!I23</f>
        <v>877999162.85204065</v>
      </c>
    </row>
    <row r="18" spans="2:6">
      <c r="B18" s="399" t="str">
        <f>Resultados!E25</f>
        <v>(-) Outras Receitas (OR)</v>
      </c>
      <c r="C18" s="400">
        <f>Resultados!F25</f>
        <v>16990380.580983154</v>
      </c>
      <c r="D18" s="400">
        <f>Resultados!G25</f>
        <v>15541649.739040365</v>
      </c>
      <c r="E18" s="400">
        <f>Resultados!H25</f>
        <v>15142467.367771639</v>
      </c>
      <c r="F18" s="400">
        <f>Resultados!I25</f>
        <v>14749659.211575814</v>
      </c>
    </row>
    <row r="19" spans="2:6">
      <c r="B19" s="399" t="str">
        <f>Resultados!E27</f>
        <v>= Receita Tarifária (RT)</v>
      </c>
      <c r="C19" s="400">
        <f>Resultados!F27</f>
        <v>994391625.78654051</v>
      </c>
      <c r="D19" s="400">
        <f>Resultados!G27</f>
        <v>909602129.14283264</v>
      </c>
      <c r="E19" s="400">
        <f>Resultados!H27</f>
        <v>886239285.37019098</v>
      </c>
      <c r="F19" s="400">
        <f>Resultados!I27</f>
        <v>863249503.64046478</v>
      </c>
    </row>
    <row r="20" spans="2:6">
      <c r="B20" s="399" t="str">
        <f>Resultados!E29</f>
        <v>Volume Faturado (A+E) (m³)</v>
      </c>
      <c r="C20" s="401">
        <f>Resultados!F29</f>
        <v>143936510.41167021</v>
      </c>
      <c r="D20" s="401">
        <f>Resultados!G29</f>
        <v>148254605.72402033</v>
      </c>
      <c r="E20" s="401">
        <f>Resultados!H29</f>
        <v>152702243.89574096</v>
      </c>
      <c r="F20" s="401">
        <f>Resultados!I29</f>
        <v>157283311.2126132</v>
      </c>
    </row>
    <row r="21" spans="2:6" ht="16.5">
      <c r="B21" s="402" t="str">
        <f>Resultados!E32</f>
        <v xml:space="preserve">WACC real antes de impostos = </v>
      </c>
      <c r="C21" s="403">
        <f>Resultados!F32</f>
        <v>0.12341955589604259</v>
      </c>
      <c r="D21" s="404"/>
      <c r="E21" s="402"/>
      <c r="F21" s="405"/>
    </row>
    <row r="22" spans="2:6" ht="16.5">
      <c r="B22" s="402" t="str">
        <f>Resultados!E33</f>
        <v xml:space="preserve">WACC real depois de impostos = </v>
      </c>
      <c r="C22" s="403">
        <f>Resultados!F33</f>
        <v>8.1456906891388098E-2</v>
      </c>
      <c r="D22" s="404"/>
      <c r="E22" s="404"/>
      <c r="F22" s="405"/>
    </row>
    <row r="23" spans="2:6" ht="16.5">
      <c r="B23" s="402" t="str">
        <f>Resultados!E36</f>
        <v xml:space="preserve">Cobertura Tarifária da TRS   = </v>
      </c>
      <c r="C23" s="403">
        <f>Resultados!F36</f>
        <v>1.4999999999999999E-2</v>
      </c>
      <c r="D23" s="404"/>
      <c r="E23" s="404"/>
      <c r="F23" s="405"/>
    </row>
    <row r="24" spans="2:6">
      <c r="B24" s="406" t="str">
        <f>Resultados!E38</f>
        <v>Tarifa Média Eficiente de Água e Esgoto (R$/m³) - P0</v>
      </c>
      <c r="C24" s="407">
        <f>Resultados!F38</f>
        <v>6.1121387107366116</v>
      </c>
      <c r="D24" s="404"/>
      <c r="E24" s="404"/>
      <c r="F24" s="404"/>
    </row>
    <row r="25" spans="2:6">
      <c r="B25" s="406" t="str">
        <f>Resultados!E40</f>
        <v>Receita Tarifária Média Eficiente</v>
      </c>
      <c r="C25" s="408">
        <f>Resultados!F40</f>
        <v>879759917.17551279</v>
      </c>
      <c r="D25" s="408">
        <f>Resultados!G40</f>
        <v>906152714.69077837</v>
      </c>
      <c r="E25" s="408">
        <f>Resultados!H40</f>
        <v>933337296.13150179</v>
      </c>
      <c r="F25" s="408">
        <f>Resultados!I40</f>
        <v>961337415.0154469</v>
      </c>
    </row>
    <row r="26" spans="2:6" ht="16.5">
      <c r="B26" s="402" t="str">
        <f>Resultados!E42</f>
        <v xml:space="preserve">VPL Receita - VPL Despesa  = </v>
      </c>
      <c r="C26" s="409">
        <f>Resultados!F42</f>
        <v>0</v>
      </c>
      <c r="D26" s="410"/>
      <c r="E26" s="411"/>
      <c r="F26" s="412"/>
    </row>
    <row r="27" spans="2:6" ht="16.5">
      <c r="B27" s="402"/>
      <c r="C27" s="409"/>
      <c r="D27" s="410"/>
      <c r="E27" s="411"/>
      <c r="F27" s="412"/>
    </row>
    <row r="28" spans="2:6" ht="16.5">
      <c r="B28" s="406" t="s">
        <v>448</v>
      </c>
      <c r="C28" s="413">
        <f>Resultados!F50</f>
        <v>5.6602482936766423</v>
      </c>
      <c r="D28" s="414"/>
      <c r="E28" s="414"/>
      <c r="F28" s="415"/>
    </row>
    <row r="29" spans="2:6" ht="16.5">
      <c r="B29" s="404" t="str">
        <f>Resultados!E54</f>
        <v>Fonte: Resumo do faturamento de agosto, enviado pela SANESUL.</v>
      </c>
      <c r="C29" s="404"/>
      <c r="D29" s="414"/>
      <c r="E29" s="414"/>
      <c r="F29" s="416"/>
    </row>
    <row r="30" spans="2:6">
      <c r="B30" s="417"/>
      <c r="C30" s="404"/>
      <c r="D30" s="404"/>
      <c r="E30" s="404"/>
      <c r="F30" s="404"/>
    </row>
    <row r="31" spans="2:6" ht="16.5">
      <c r="B31" s="402" t="str">
        <f>Resultados!E56</f>
        <v xml:space="preserve">Reposicionamento Tarifário = </v>
      </c>
      <c r="C31" s="403">
        <f>Resultados!F56</f>
        <v>7.9835794052497633E-2</v>
      </c>
      <c r="D31" s="410"/>
      <c r="E31" s="411"/>
      <c r="F31" s="416"/>
    </row>
  </sheetData>
  <mergeCells count="2">
    <mergeCell ref="B3:B4"/>
    <mergeCell ref="C3:F3"/>
  </mergeCells>
  <conditionalFormatting sqref="B23">
    <cfRule type="expression" dxfId="20" priority="29">
      <formula>B23&lt;0</formula>
    </cfRule>
  </conditionalFormatting>
  <conditionalFormatting sqref="B21:C22">
    <cfRule type="expression" dxfId="19" priority="26">
      <formula>B21&lt;0</formula>
    </cfRule>
  </conditionalFormatting>
  <conditionalFormatting sqref="B31:C31">
    <cfRule type="expression" dxfId="18" priority="25">
      <formula>B31&lt;0</formula>
    </cfRule>
  </conditionalFormatting>
  <conditionalFormatting sqref="B5:F20">
    <cfRule type="expression" dxfId="17" priority="1">
      <formula>B5&lt;0</formula>
    </cfRule>
  </conditionalFormatting>
  <conditionalFormatting sqref="C23:C24">
    <cfRule type="expression" dxfId="16" priority="27">
      <formula>C23&lt;0</formula>
    </cfRule>
  </conditionalFormatting>
  <conditionalFormatting sqref="C25:F25">
    <cfRule type="expression" dxfId="15" priority="33">
      <formula>C25&lt;0</formula>
    </cfRule>
  </conditionalFormatting>
  <conditionalFormatting sqref="C28:F28">
    <cfRule type="expression" dxfId="14" priority="11">
      <formula>C28&lt;0</formula>
    </cfRule>
  </conditionalFormatting>
  <conditionalFormatting sqref="E21 B26:C27">
    <cfRule type="expression" dxfId="13" priority="35">
      <formula>B21&lt;0</formula>
    </cfRule>
  </conditionalFormatting>
  <conditionalFormatting sqref="J13:O14">
    <cfRule type="expression" dxfId="12" priority="2">
      <formula>J13&lt;0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P4628"/>
  <sheetViews>
    <sheetView showGridLines="0" zoomScale="85" zoomScaleNormal="85" workbookViewId="0">
      <selection activeCell="AG11" sqref="AG11"/>
    </sheetView>
  </sheetViews>
  <sheetFormatPr defaultRowHeight="15"/>
  <cols>
    <col min="1" max="3" width="8.7109375"/>
    <col min="4" max="6" width="15.140625" customWidth="1"/>
    <col min="7" max="7" width="27.28515625" customWidth="1"/>
    <col min="8" max="11" width="15.140625" customWidth="1"/>
    <col min="12" max="12" width="16.7109375" customWidth="1"/>
    <col min="13" max="15" width="15.140625" customWidth="1"/>
    <col min="16" max="16" width="28.140625" customWidth="1"/>
    <col min="17" max="22" width="15.140625" customWidth="1"/>
    <col min="23" max="23" width="10.140625" style="28" bestFit="1" customWidth="1"/>
    <col min="24" max="24" width="5.85546875" style="28" bestFit="1" customWidth="1"/>
    <col min="25" max="25" width="14.140625" style="28" customWidth="1"/>
    <col min="26" max="26" width="15.7109375" style="28" bestFit="1" customWidth="1"/>
    <col min="27" max="28" width="10.85546875" style="28" bestFit="1" customWidth="1"/>
    <col min="29" max="29" width="12.140625" style="28" bestFit="1" customWidth="1"/>
    <col min="30" max="30" width="12" style="28" bestFit="1" customWidth="1"/>
    <col min="31" max="31" width="14" style="28" customWidth="1"/>
    <col min="32" max="32" width="14.5703125" style="28" customWidth="1"/>
    <col min="33" max="33" width="21.7109375" style="28" customWidth="1"/>
    <col min="34" max="34" width="15.28515625" style="28" customWidth="1"/>
    <col min="35" max="35" width="15.140625" customWidth="1"/>
    <col min="36" max="36" width="1.85546875" customWidth="1"/>
    <col min="37" max="38" width="11.42578125" customWidth="1"/>
    <col min="39" max="39" width="12" customWidth="1"/>
    <col min="40" max="40" width="18.140625" customWidth="1"/>
    <col min="41" max="41" width="27.7109375" customWidth="1"/>
    <col min="42" max="44" width="12" customWidth="1"/>
    <col min="45" max="45" width="15.28515625" bestFit="1" customWidth="1"/>
    <col min="46" max="46" width="12" customWidth="1"/>
    <col min="48" max="48" width="10.42578125" style="28" customWidth="1"/>
    <col min="49" max="49" width="14.42578125" style="28" customWidth="1"/>
    <col min="50" max="50" width="20" style="28" customWidth="1"/>
    <col min="51" max="59" width="14.42578125" style="28" customWidth="1"/>
    <col min="60" max="60" width="16.140625" style="28" customWidth="1"/>
    <col min="61" max="61" width="10.42578125" customWidth="1"/>
    <col min="62" max="62" width="10.85546875" customWidth="1"/>
    <col min="63" max="63" width="9.85546875" bestFit="1" customWidth="1"/>
    <col min="64" max="64" width="13.85546875" hidden="1" customWidth="1"/>
    <col min="65" max="65" width="14.5703125" hidden="1" customWidth="1"/>
    <col min="66" max="66" width="14.5703125" bestFit="1" customWidth="1"/>
    <col min="67" max="67" width="17.85546875" bestFit="1" customWidth="1"/>
    <col min="68" max="68" width="17.85546875" customWidth="1"/>
    <col min="69" max="69" width="9.85546875" bestFit="1" customWidth="1"/>
    <col min="70" max="70" width="11.85546875" bestFit="1" customWidth="1"/>
  </cols>
  <sheetData>
    <row r="1" spans="1:68" ht="14.45" customHeight="1">
      <c r="A1" s="278" t="s">
        <v>423</v>
      </c>
      <c r="C1" s="640" t="s">
        <v>151</v>
      </c>
      <c r="D1" s="655" t="s">
        <v>337</v>
      </c>
      <c r="E1" s="655" t="s">
        <v>329</v>
      </c>
      <c r="F1" s="640" t="s">
        <v>330</v>
      </c>
      <c r="G1" s="640" t="s">
        <v>331</v>
      </c>
      <c r="H1" s="642" t="s">
        <v>332</v>
      </c>
      <c r="I1" s="643"/>
      <c r="J1" s="643"/>
      <c r="K1" s="644"/>
      <c r="L1" s="640" t="s">
        <v>346</v>
      </c>
      <c r="N1" s="655" t="s">
        <v>329</v>
      </c>
      <c r="O1" s="640" t="s">
        <v>330</v>
      </c>
      <c r="P1" s="640" t="s">
        <v>331</v>
      </c>
      <c r="Q1" s="642" t="s">
        <v>332</v>
      </c>
      <c r="R1" s="643"/>
      <c r="S1" s="643"/>
      <c r="T1" s="644"/>
      <c r="U1" s="640" t="s">
        <v>346</v>
      </c>
      <c r="V1" s="232"/>
      <c r="W1" s="119"/>
      <c r="X1" s="119"/>
      <c r="Y1" s="647" t="s">
        <v>425</v>
      </c>
      <c r="Z1" s="649"/>
      <c r="AA1" s="647" t="s">
        <v>424</v>
      </c>
      <c r="AB1" s="648"/>
      <c r="AC1" s="648"/>
      <c r="AD1" s="648"/>
      <c r="AE1" s="648"/>
      <c r="AF1" s="648"/>
      <c r="AG1" s="648"/>
      <c r="AH1" s="649"/>
      <c r="AI1" s="232"/>
      <c r="AJ1" s="233"/>
      <c r="AK1" s="230" t="s">
        <v>339</v>
      </c>
      <c r="AL1" s="653" t="s">
        <v>151</v>
      </c>
      <c r="AM1" s="653" t="s">
        <v>329</v>
      </c>
      <c r="AN1" s="645" t="s">
        <v>330</v>
      </c>
      <c r="AO1" s="645" t="s">
        <v>331</v>
      </c>
      <c r="AP1" s="650" t="s">
        <v>332</v>
      </c>
      <c r="AQ1" s="651"/>
      <c r="AR1" s="651"/>
      <c r="AS1" s="652"/>
      <c r="AT1" s="645" t="s">
        <v>338</v>
      </c>
      <c r="AV1" s="645" t="s">
        <v>151</v>
      </c>
      <c r="AW1" s="645" t="s">
        <v>330</v>
      </c>
      <c r="AX1" s="645" t="s">
        <v>331</v>
      </c>
      <c r="AY1" s="650" t="s">
        <v>332</v>
      </c>
      <c r="AZ1" s="651"/>
      <c r="BA1" s="651"/>
      <c r="BB1" s="652"/>
      <c r="BC1" s="645" t="s">
        <v>346</v>
      </c>
      <c r="BD1" s="650" t="s">
        <v>332</v>
      </c>
      <c r="BE1" s="651"/>
      <c r="BF1" s="651"/>
      <c r="BG1" s="652"/>
      <c r="BH1" s="645" t="s">
        <v>439</v>
      </c>
      <c r="BI1" s="239"/>
      <c r="BJ1" s="239"/>
      <c r="BK1" s="239"/>
      <c r="BL1" s="239"/>
      <c r="BM1" s="239"/>
      <c r="BN1" s="239"/>
      <c r="BO1" s="239"/>
      <c r="BP1" s="239"/>
    </row>
    <row r="2" spans="1:68" ht="22.9" customHeight="1">
      <c r="A2" s="278"/>
      <c r="C2" s="641"/>
      <c r="D2" s="656"/>
      <c r="E2" s="656"/>
      <c r="F2" s="641"/>
      <c r="G2" s="641"/>
      <c r="H2" s="228" t="s">
        <v>333</v>
      </c>
      <c r="I2" s="228" t="s">
        <v>334</v>
      </c>
      <c r="J2" s="228" t="s">
        <v>335</v>
      </c>
      <c r="K2" s="228" t="s">
        <v>336</v>
      </c>
      <c r="L2" s="641"/>
      <c r="N2" s="656"/>
      <c r="O2" s="641"/>
      <c r="P2" s="641"/>
      <c r="Q2" s="228" t="s">
        <v>333</v>
      </c>
      <c r="R2" s="228" t="s">
        <v>334</v>
      </c>
      <c r="S2" s="228" t="s">
        <v>335</v>
      </c>
      <c r="T2" s="228" t="s">
        <v>336</v>
      </c>
      <c r="U2" s="641"/>
      <c r="V2" s="232"/>
      <c r="W2" s="576" t="s">
        <v>418</v>
      </c>
      <c r="X2" s="576" t="s">
        <v>151</v>
      </c>
      <c r="Y2" s="576" t="s">
        <v>426</v>
      </c>
      <c r="Z2" s="576" t="s">
        <v>343</v>
      </c>
      <c r="AA2" s="576" t="s">
        <v>347</v>
      </c>
      <c r="AB2" s="576" t="s">
        <v>348</v>
      </c>
      <c r="AC2" s="576" t="s">
        <v>335</v>
      </c>
      <c r="AD2" s="576" t="s">
        <v>349</v>
      </c>
      <c r="AE2" s="576" t="s">
        <v>350</v>
      </c>
      <c r="AF2" s="576" t="s">
        <v>351</v>
      </c>
      <c r="AG2" s="576" t="s">
        <v>413</v>
      </c>
      <c r="AH2" s="576" t="s">
        <v>353</v>
      </c>
      <c r="AI2" s="223"/>
      <c r="AJ2" s="233"/>
      <c r="AK2" s="231">
        <v>45839</v>
      </c>
      <c r="AL2" s="654" t="s">
        <v>151</v>
      </c>
      <c r="AM2" s="654"/>
      <c r="AN2" s="646"/>
      <c r="AO2" s="646"/>
      <c r="AP2" s="229" t="s">
        <v>333</v>
      </c>
      <c r="AQ2" s="229" t="s">
        <v>334</v>
      </c>
      <c r="AR2" s="229" t="s">
        <v>335</v>
      </c>
      <c r="AS2" s="229" t="s">
        <v>336</v>
      </c>
      <c r="AT2" s="646"/>
      <c r="AV2" s="646" t="s">
        <v>151</v>
      </c>
      <c r="AW2" s="646"/>
      <c r="AX2" s="646"/>
      <c r="AY2" s="229" t="s">
        <v>333</v>
      </c>
      <c r="AZ2" s="229" t="s">
        <v>334</v>
      </c>
      <c r="BA2" s="229" t="s">
        <v>335</v>
      </c>
      <c r="BB2" s="229" t="s">
        <v>336</v>
      </c>
      <c r="BC2" s="646"/>
      <c r="BD2" s="229" t="s">
        <v>333</v>
      </c>
      <c r="BE2" s="229" t="s">
        <v>334</v>
      </c>
      <c r="BF2" s="229" t="s">
        <v>335</v>
      </c>
      <c r="BG2" s="229" t="s">
        <v>336</v>
      </c>
      <c r="BH2" s="646"/>
    </row>
    <row r="3" spans="1:68">
      <c r="C3" s="161">
        <f>YEAR(E3)</f>
        <v>2015</v>
      </c>
      <c r="D3" s="35" t="s">
        <v>260</v>
      </c>
      <c r="E3" s="227">
        <v>42309</v>
      </c>
      <c r="F3" s="156">
        <v>199725.7</v>
      </c>
      <c r="G3" s="131">
        <f>F3*L3</f>
        <v>35790.845440000005</v>
      </c>
      <c r="H3" s="156">
        <v>1389.24</v>
      </c>
      <c r="I3" s="156">
        <v>0</v>
      </c>
      <c r="J3" s="156">
        <v>0</v>
      </c>
      <c r="K3" s="131">
        <f>SUM(H3:J3)</f>
        <v>1389.24</v>
      </c>
      <c r="L3" s="134">
        <v>0.1792</v>
      </c>
      <c r="N3" s="227">
        <v>42309</v>
      </c>
      <c r="O3" s="35">
        <f>SUMIFS(F$3:F$4626,$E$3:$E$4626,$N3)</f>
        <v>34165106.643750012</v>
      </c>
      <c r="P3" s="35">
        <f t="shared" ref="P3:P34" si="0">SUMIFS(G$3:G$4626,$E$3:$E$4626,$N3)</f>
        <v>6122387.1105600027</v>
      </c>
      <c r="Q3" s="35">
        <f t="shared" ref="Q3:Q34" si="1">SUMIFS(H$3:H$4626,$E$3:$E$4626,$N3)</f>
        <v>3392484.2400000007</v>
      </c>
      <c r="R3" s="35">
        <f t="shared" ref="R3:R34" si="2">SUMIFS(I$3:I$4626,$E$3:$E$4626,$N3)</f>
        <v>2707556.5900000008</v>
      </c>
      <c r="S3" s="35">
        <f>SUMIFS(J$3:J$4626,$E$3:$E$4626,$N3)</f>
        <v>379836.7</v>
      </c>
      <c r="T3" s="35">
        <f t="shared" ref="T3:T34" si="3">SUM(Q3:S3)</f>
        <v>6479877.5300000021</v>
      </c>
      <c r="U3" s="34">
        <f t="shared" ref="U3:U34" si="4">(O3)/(O3-P3)-1</f>
        <v>0.21832358674463936</v>
      </c>
      <c r="V3" s="232"/>
      <c r="W3" s="272">
        <v>43617</v>
      </c>
      <c r="X3" s="161">
        <v>2019</v>
      </c>
      <c r="Y3" s="35">
        <f>SUMIFS($AS$3:$AS$74,$AL$3:$AL$74,X3)</f>
        <v>167731620.13999999</v>
      </c>
      <c r="Z3" s="35">
        <f>SUMIFS($AN$3:$AN$74,$AL$3:$AL$74,X3)</f>
        <v>560754915.92000008</v>
      </c>
      <c r="AA3" s="423">
        <f>SUMIFS($AP$3:$AP$74,$AL$3:$AL$74,X3)</f>
        <v>76398953.359999999</v>
      </c>
      <c r="AB3" s="423">
        <f>SUMIFS($AQ$3:$AQ$74,$AL$3:$AL$74,X3)</f>
        <v>82058521.519999996</v>
      </c>
      <c r="AC3" s="423">
        <f>SUMIFS($AR$3:$AR$74,$AL$3:$AL$74,X3)</f>
        <v>9274145.2599999998</v>
      </c>
      <c r="AD3" s="423">
        <f>SUM(AA3:AC3)</f>
        <v>167731620.13999999</v>
      </c>
      <c r="AE3" s="423">
        <v>91565013.980000004</v>
      </c>
      <c r="AF3" s="423">
        <v>60298569.780000001</v>
      </c>
      <c r="AG3" s="35">
        <f t="shared" ref="AG3:AG8" si="5">AF3+AE3</f>
        <v>151863583.75999999</v>
      </c>
      <c r="AH3" s="423">
        <v>15868036.35</v>
      </c>
      <c r="AI3" s="223"/>
      <c r="AJ3" s="233"/>
      <c r="AL3" s="161">
        <f>YEAR(AM3)</f>
        <v>2019</v>
      </c>
      <c r="AM3" s="227">
        <v>43466</v>
      </c>
      <c r="AN3" s="476">
        <v>47203111.590000004</v>
      </c>
      <c r="AO3" s="131">
        <f>AN3*0.1792</f>
        <v>8458797.5969280005</v>
      </c>
      <c r="AP3" s="131">
        <v>6366579.4466666663</v>
      </c>
      <c r="AQ3" s="131">
        <v>6838210.126666666</v>
      </c>
      <c r="AR3" s="131">
        <v>772845.43833333335</v>
      </c>
      <c r="AS3" s="131">
        <f>SUM(AP3:AR3)</f>
        <v>13977635.011666665</v>
      </c>
      <c r="AT3" s="134">
        <f>(AN3)/(AN3-AO3)-1</f>
        <v>0.21832358674463936</v>
      </c>
      <c r="AV3" s="161">
        <v>2019</v>
      </c>
      <c r="AW3" s="35">
        <f t="shared" ref="AW3:BA7" si="6">SUMIFS(AN$3:AN$70,$AL$3:$AL$70,$AV3)</f>
        <v>560754915.92000008</v>
      </c>
      <c r="AX3" s="35">
        <f t="shared" si="6"/>
        <v>100487280.932864</v>
      </c>
      <c r="AY3" s="35">
        <f t="shared" si="6"/>
        <v>76398953.359999999</v>
      </c>
      <c r="AZ3" s="35">
        <f t="shared" si="6"/>
        <v>82058521.519999996</v>
      </c>
      <c r="BA3" s="35">
        <f t="shared" si="6"/>
        <v>9274145.2599999998</v>
      </c>
      <c r="BB3" s="35">
        <f>SUM(AY3:BA3)</f>
        <v>167731620.13999999</v>
      </c>
      <c r="BC3" s="34">
        <f>(AW3)/(AW3-AX3)-1</f>
        <v>0.21832358674463936</v>
      </c>
      <c r="BD3" s="35">
        <f>SUMIFS($AP$3:$AP$74,$AL$3:$AL$74,"="&amp;AV3)</f>
        <v>76398953.359999999</v>
      </c>
      <c r="BE3" s="35">
        <f>SUMIFS($AQ$3:$AQ$74,$AL$3:$AL$74,"="&amp;AV3)</f>
        <v>82058521.519999996</v>
      </c>
      <c r="BF3" s="35">
        <f>SUMIFS($AR$3:$AR$74,$AL$3:$AL$74,"="&amp;AV3)</f>
        <v>9274145.2599999998</v>
      </c>
      <c r="BG3" s="35">
        <f>SUM(BD3:BF3)</f>
        <v>167731620.13999999</v>
      </c>
      <c r="BH3" s="35">
        <f>AF3</f>
        <v>60298569.780000001</v>
      </c>
    </row>
    <row r="4" spans="1:68">
      <c r="C4" s="161">
        <f t="shared" ref="C4:C67" si="7">YEAR(E4)</f>
        <v>2015</v>
      </c>
      <c r="D4" s="35" t="s">
        <v>260</v>
      </c>
      <c r="E4" s="227">
        <v>42339</v>
      </c>
      <c r="F4" s="156">
        <v>177217.96</v>
      </c>
      <c r="G4" s="131">
        <f t="shared" ref="G4:G67" si="8">F4*L4</f>
        <v>31757.458431999999</v>
      </c>
      <c r="H4" s="156">
        <v>1390.97</v>
      </c>
      <c r="I4" s="156">
        <v>0</v>
      </c>
      <c r="J4" s="156">
        <v>0</v>
      </c>
      <c r="K4" s="131">
        <f t="shared" ref="K4:K67" si="9">SUM(H4:J4)</f>
        <v>1390.97</v>
      </c>
      <c r="L4" s="134">
        <v>0.1792</v>
      </c>
      <c r="N4" s="227">
        <v>42339</v>
      </c>
      <c r="O4" s="35">
        <f>SUMIFS(F$3:F$4626,$E$3:$E$4626,$N4)</f>
        <v>31572842.207725011</v>
      </c>
      <c r="P4" s="35">
        <f t="shared" si="0"/>
        <v>5657853.3236243203</v>
      </c>
      <c r="Q4" s="35">
        <f t="shared" si="1"/>
        <v>2651636.36</v>
      </c>
      <c r="R4" s="35">
        <f t="shared" si="2"/>
        <v>1876949.48</v>
      </c>
      <c r="S4" s="35">
        <f t="shared" ref="S4:S34" si="10">SUMIFS(J$3:J$4626,$E$3:$E$4626,$N4)</f>
        <v>103274.29</v>
      </c>
      <c r="T4" s="35">
        <f t="shared" si="3"/>
        <v>4631860.13</v>
      </c>
      <c r="U4" s="34">
        <f t="shared" si="4"/>
        <v>0.21832358674463936</v>
      </c>
      <c r="V4" s="232"/>
      <c r="W4" s="272">
        <v>43983</v>
      </c>
      <c r="X4" s="161">
        <v>2020</v>
      </c>
      <c r="Y4" s="35">
        <f t="shared" ref="Y4:Y8" si="11">SUMIFS($AS$3:$AS$74,$AL$3:$AL$74,X4)</f>
        <v>124494354.28000003</v>
      </c>
      <c r="Z4" s="35">
        <f t="shared" ref="Z4:Z8" si="12">SUMIFS($AN$3:$AN$74,$AL$3:$AL$74,X4)</f>
        <v>585998695.13</v>
      </c>
      <c r="AA4" s="423">
        <f t="shared" ref="AA4:AA8" si="13">SUMIFS($AP$3:$AP$74,$AL$3:$AL$74,X4)</f>
        <v>56070590.459999986</v>
      </c>
      <c r="AB4" s="423">
        <f t="shared" ref="AB4:AB8" si="14">SUMIFS($AQ$3:$AQ$74,$AL$3:$AL$74,X4)</f>
        <v>65849852.43</v>
      </c>
      <c r="AC4" s="423">
        <f t="shared" ref="AC4:AC8" si="15">SUMIFS($AR$3:$AR$74,$AL$3:$AL$74,X4)</f>
        <v>2573911.3899999992</v>
      </c>
      <c r="AD4" s="423">
        <f t="shared" ref="AD4:AD8" si="16">SUM(AA4:AC4)</f>
        <v>124494354.27999999</v>
      </c>
      <c r="AE4" s="423">
        <v>6418094.4900000002</v>
      </c>
      <c r="AF4" s="423">
        <v>42279407.789999999</v>
      </c>
      <c r="AG4" s="35">
        <f t="shared" si="5"/>
        <v>48697502.280000001</v>
      </c>
      <c r="AH4" s="423">
        <v>0</v>
      </c>
      <c r="AI4" s="223"/>
      <c r="AJ4" s="233"/>
      <c r="AL4" s="161">
        <f t="shared" ref="AL4:AL67" si="17">YEAR(AM4)</f>
        <v>2019</v>
      </c>
      <c r="AM4" s="227">
        <v>43497</v>
      </c>
      <c r="AN4" s="476">
        <v>46339129.680000007</v>
      </c>
      <c r="AO4" s="131">
        <f t="shared" ref="AO4:AO67" si="18">AN4*0.1792</f>
        <v>8303972.038656001</v>
      </c>
      <c r="AP4" s="131">
        <v>6366579.4466666663</v>
      </c>
      <c r="AQ4" s="131">
        <v>6838210.126666666</v>
      </c>
      <c r="AR4" s="131">
        <v>772845.43833333335</v>
      </c>
      <c r="AS4" s="131">
        <f t="shared" ref="AS4:AS65" si="19">SUM(AP4:AR4)</f>
        <v>13977635.011666665</v>
      </c>
      <c r="AT4" s="134">
        <f t="shared" ref="AT4:AT34" si="20">(AN4)/(AN4-AO4)-1</f>
        <v>0.21832358674463936</v>
      </c>
      <c r="AV4" s="161">
        <v>2020</v>
      </c>
      <c r="AW4" s="35">
        <f t="shared" si="6"/>
        <v>585998695.13</v>
      </c>
      <c r="AX4" s="35">
        <f t="shared" si="6"/>
        <v>105010966.16729601</v>
      </c>
      <c r="AY4" s="35">
        <f t="shared" si="6"/>
        <v>56070590.459999986</v>
      </c>
      <c r="AZ4" s="35">
        <f t="shared" si="6"/>
        <v>65849852.43</v>
      </c>
      <c r="BA4" s="35">
        <f t="shared" si="6"/>
        <v>2573911.3899999992</v>
      </c>
      <c r="BB4" s="35">
        <f t="shared" ref="BB4:BB8" si="21">SUM(AY4:BA4)</f>
        <v>124494354.27999999</v>
      </c>
      <c r="BC4" s="34">
        <f t="shared" ref="BC4:BC8" si="22">(AW4)/(AW4-AX4)-1</f>
        <v>0.21832358674463936</v>
      </c>
      <c r="BD4" s="35">
        <f t="shared" ref="BD4:BD7" si="23">SUMIFS($AP$3:$AP$74,$AL$3:$AL$74,"="&amp;AV4)</f>
        <v>56070590.459999986</v>
      </c>
      <c r="BE4" s="35">
        <f t="shared" ref="BE4:BE8" si="24">SUMIFS($AQ$3:$AQ$74,$AL$3:$AL$74,"="&amp;AV4)</f>
        <v>65849852.43</v>
      </c>
      <c r="BF4" s="35">
        <f t="shared" ref="BF4:BF8" si="25">SUMIFS($AR$3:$AR$74,$AL$3:$AL$74,"="&amp;AV4)</f>
        <v>2573911.3899999992</v>
      </c>
      <c r="BG4" s="35">
        <f t="shared" ref="BG4:BG8" si="26">SUM(BD4:BF4)</f>
        <v>124494354.27999999</v>
      </c>
      <c r="BH4" s="35">
        <f t="shared" ref="BH4:BH8" si="27">AF4</f>
        <v>42279407.789999999</v>
      </c>
    </row>
    <row r="5" spans="1:68">
      <c r="C5" s="161">
        <f t="shared" si="7"/>
        <v>2016</v>
      </c>
      <c r="D5" s="35" t="s">
        <v>260</v>
      </c>
      <c r="E5" s="227">
        <v>42370</v>
      </c>
      <c r="F5" s="156">
        <v>186005.58</v>
      </c>
      <c r="G5" s="131">
        <f t="shared" si="8"/>
        <v>33332.199935999997</v>
      </c>
      <c r="H5" s="156">
        <v>3239.69</v>
      </c>
      <c r="I5" s="156">
        <v>0</v>
      </c>
      <c r="J5" s="156">
        <v>0</v>
      </c>
      <c r="K5" s="131">
        <f t="shared" si="9"/>
        <v>3239.69</v>
      </c>
      <c r="L5" s="134">
        <v>0.1792</v>
      </c>
      <c r="N5" s="227">
        <v>42370</v>
      </c>
      <c r="O5" s="35">
        <f t="shared" ref="O5:O34" si="28">SUMIFS(F$3:F$4626,$E$3:$E$4626,$N5)</f>
        <v>33011806.774275012</v>
      </c>
      <c r="P5" s="35">
        <f t="shared" si="0"/>
        <v>5915715.7739500813</v>
      </c>
      <c r="Q5" s="35">
        <f t="shared" si="1"/>
        <v>7332619.330000001</v>
      </c>
      <c r="R5" s="35">
        <f t="shared" si="2"/>
        <v>3106923.1999999993</v>
      </c>
      <c r="S5" s="35">
        <f t="shared" si="10"/>
        <v>113290.15000000001</v>
      </c>
      <c r="T5" s="35">
        <f t="shared" si="3"/>
        <v>10552832.680000002</v>
      </c>
      <c r="U5" s="34">
        <f t="shared" si="4"/>
        <v>0.21832358674463936</v>
      </c>
      <c r="V5" s="232"/>
      <c r="W5" s="272">
        <v>44348</v>
      </c>
      <c r="X5" s="161">
        <v>2021</v>
      </c>
      <c r="Y5" s="35">
        <f t="shared" si="11"/>
        <v>117818660.23999999</v>
      </c>
      <c r="Z5" s="35">
        <f t="shared" si="12"/>
        <v>642496166.01999998</v>
      </c>
      <c r="AA5" s="423">
        <f t="shared" si="13"/>
        <v>40734344.539999999</v>
      </c>
      <c r="AB5" s="423">
        <f t="shared" si="14"/>
        <v>72072254.359999985</v>
      </c>
      <c r="AC5" s="423">
        <f t="shared" si="15"/>
        <v>5012061.34</v>
      </c>
      <c r="AD5" s="423">
        <f t="shared" si="16"/>
        <v>117818660.23999998</v>
      </c>
      <c r="AE5" s="423">
        <v>61476734.369999997</v>
      </c>
      <c r="AF5" s="423">
        <v>39854285.93</v>
      </c>
      <c r="AG5" s="35">
        <f t="shared" si="5"/>
        <v>101331020.3</v>
      </c>
      <c r="AH5" s="423">
        <v>16487639.91</v>
      </c>
      <c r="AI5" s="223"/>
      <c r="AJ5" s="233"/>
      <c r="AL5" s="161">
        <f t="shared" si="17"/>
        <v>2019</v>
      </c>
      <c r="AM5" s="227">
        <v>43525</v>
      </c>
      <c r="AN5" s="476">
        <v>41381738.359999992</v>
      </c>
      <c r="AO5" s="131">
        <f t="shared" si="18"/>
        <v>7415607.5141119985</v>
      </c>
      <c r="AP5" s="131">
        <v>6366579.4466666663</v>
      </c>
      <c r="AQ5" s="131">
        <v>6838210.126666666</v>
      </c>
      <c r="AR5" s="131">
        <v>772845.43833333335</v>
      </c>
      <c r="AS5" s="131">
        <f t="shared" si="19"/>
        <v>13977635.011666665</v>
      </c>
      <c r="AT5" s="134">
        <f t="shared" si="20"/>
        <v>0.21832358674463936</v>
      </c>
      <c r="AV5" s="161">
        <v>2021</v>
      </c>
      <c r="AW5" s="35">
        <f t="shared" si="6"/>
        <v>642496166.01999998</v>
      </c>
      <c r="AX5" s="35">
        <f t="shared" si="6"/>
        <v>115135312.950784</v>
      </c>
      <c r="AY5" s="35">
        <f t="shared" si="6"/>
        <v>40734344.539999999</v>
      </c>
      <c r="AZ5" s="35">
        <f t="shared" si="6"/>
        <v>72072254.359999985</v>
      </c>
      <c r="BA5" s="35">
        <f t="shared" si="6"/>
        <v>5012061.34</v>
      </c>
      <c r="BB5" s="35">
        <f t="shared" si="21"/>
        <v>117818660.23999998</v>
      </c>
      <c r="BC5" s="34">
        <f>(AW5)/(AW5-AX5)-1</f>
        <v>0.21832358674463936</v>
      </c>
      <c r="BD5" s="35">
        <f t="shared" si="23"/>
        <v>40734344.539999999</v>
      </c>
      <c r="BE5" s="35">
        <f t="shared" si="24"/>
        <v>72072254.359999985</v>
      </c>
      <c r="BF5" s="35">
        <f t="shared" si="25"/>
        <v>5012061.34</v>
      </c>
      <c r="BG5" s="35">
        <f t="shared" si="26"/>
        <v>117818660.23999998</v>
      </c>
      <c r="BH5" s="35">
        <f t="shared" si="27"/>
        <v>39854285.93</v>
      </c>
    </row>
    <row r="6" spans="1:68">
      <c r="C6" s="161">
        <f t="shared" si="7"/>
        <v>2016</v>
      </c>
      <c r="D6" s="35" t="s">
        <v>260</v>
      </c>
      <c r="E6" s="227">
        <v>42401</v>
      </c>
      <c r="F6" s="156">
        <v>201384.13</v>
      </c>
      <c r="G6" s="131">
        <f t="shared" si="8"/>
        <v>36088.036096000003</v>
      </c>
      <c r="H6" s="156">
        <v>2366.89</v>
      </c>
      <c r="I6" s="156">
        <v>0</v>
      </c>
      <c r="J6" s="156">
        <v>0</v>
      </c>
      <c r="K6" s="131">
        <f t="shared" si="9"/>
        <v>2366.89</v>
      </c>
      <c r="L6" s="134">
        <v>0.1792</v>
      </c>
      <c r="N6" s="227">
        <v>42401</v>
      </c>
      <c r="O6" s="35">
        <f t="shared" si="28"/>
        <v>33480164.423075005</v>
      </c>
      <c r="P6" s="35">
        <f t="shared" si="0"/>
        <v>5999645.4646150405</v>
      </c>
      <c r="Q6" s="35">
        <f t="shared" si="1"/>
        <v>4298083.3599999994</v>
      </c>
      <c r="R6" s="35">
        <f t="shared" si="2"/>
        <v>1162108.31</v>
      </c>
      <c r="S6" s="35">
        <f t="shared" si="10"/>
        <v>102306.54</v>
      </c>
      <c r="T6" s="35">
        <f t="shared" si="3"/>
        <v>5562498.21</v>
      </c>
      <c r="U6" s="34">
        <f t="shared" si="4"/>
        <v>0.21832358674463936</v>
      </c>
      <c r="V6" s="232"/>
      <c r="W6" s="272">
        <v>44713</v>
      </c>
      <c r="X6" s="161">
        <v>2022</v>
      </c>
      <c r="Y6" s="35">
        <f t="shared" si="11"/>
        <v>250530117.72999999</v>
      </c>
      <c r="Z6" s="35">
        <f>SUMIFS($AN$3:$AN$74,$AL$3:$AL$74,X6)</f>
        <v>669251042.13000011</v>
      </c>
      <c r="AA6" s="423">
        <f t="shared" si="13"/>
        <v>79559426.85999997</v>
      </c>
      <c r="AB6" s="423">
        <f t="shared" si="14"/>
        <v>144676522.92999998</v>
      </c>
      <c r="AC6" s="423">
        <f t="shared" si="15"/>
        <v>26294167.940000013</v>
      </c>
      <c r="AD6" s="423">
        <f t="shared" si="16"/>
        <v>250530117.72999996</v>
      </c>
      <c r="AE6" s="423">
        <v>121630902.15000001</v>
      </c>
      <c r="AF6" s="423">
        <v>97253888.950000003</v>
      </c>
      <c r="AG6" s="35">
        <f t="shared" si="5"/>
        <v>218884791.10000002</v>
      </c>
      <c r="AH6" s="423">
        <v>32552000.940000001</v>
      </c>
      <c r="AI6" s="223"/>
      <c r="AJ6" s="233"/>
      <c r="AL6" s="161">
        <f t="shared" si="17"/>
        <v>2019</v>
      </c>
      <c r="AM6" s="227">
        <v>43556</v>
      </c>
      <c r="AN6" s="476">
        <v>45334825.009999983</v>
      </c>
      <c r="AO6" s="131">
        <f t="shared" si="18"/>
        <v>8124000.6417919965</v>
      </c>
      <c r="AP6" s="131">
        <v>6366579.4466666663</v>
      </c>
      <c r="AQ6" s="131">
        <v>6838210.126666666</v>
      </c>
      <c r="AR6" s="131">
        <v>772845.43833333335</v>
      </c>
      <c r="AS6" s="131">
        <f t="shared" si="19"/>
        <v>13977635.011666665</v>
      </c>
      <c r="AT6" s="134">
        <f t="shared" si="20"/>
        <v>0.21832358674463936</v>
      </c>
      <c r="AV6" s="161">
        <v>2022</v>
      </c>
      <c r="AW6" s="35">
        <f t="shared" si="6"/>
        <v>669251042.13000011</v>
      </c>
      <c r="AX6" s="35">
        <f t="shared" si="6"/>
        <v>119929786.74969605</v>
      </c>
      <c r="AY6" s="35">
        <f t="shared" si="6"/>
        <v>79559426.85999997</v>
      </c>
      <c r="AZ6" s="35">
        <f t="shared" si="6"/>
        <v>144676522.92999998</v>
      </c>
      <c r="BA6" s="35">
        <f t="shared" si="6"/>
        <v>26294167.940000013</v>
      </c>
      <c r="BB6" s="35">
        <f t="shared" si="21"/>
        <v>250530117.72999996</v>
      </c>
      <c r="BC6" s="34">
        <f t="shared" si="22"/>
        <v>0.21832358674463936</v>
      </c>
      <c r="BD6" s="35">
        <f t="shared" si="23"/>
        <v>79559426.85999997</v>
      </c>
      <c r="BE6" s="35">
        <f t="shared" si="24"/>
        <v>144676522.92999998</v>
      </c>
      <c r="BF6" s="35">
        <f t="shared" si="25"/>
        <v>26294167.940000013</v>
      </c>
      <c r="BG6" s="35">
        <f t="shared" si="26"/>
        <v>250530117.72999996</v>
      </c>
      <c r="BH6" s="35">
        <f t="shared" si="27"/>
        <v>97253888.950000003</v>
      </c>
    </row>
    <row r="7" spans="1:68">
      <c r="C7" s="161">
        <f t="shared" si="7"/>
        <v>2016</v>
      </c>
      <c r="D7" s="35" t="s">
        <v>260</v>
      </c>
      <c r="E7" s="227">
        <v>42430</v>
      </c>
      <c r="F7" s="156">
        <v>182617.87</v>
      </c>
      <c r="G7" s="131">
        <f t="shared" si="8"/>
        <v>32725.122304</v>
      </c>
      <c r="H7" s="156">
        <v>150664.35</v>
      </c>
      <c r="I7" s="156">
        <v>0</v>
      </c>
      <c r="J7" s="156">
        <v>0</v>
      </c>
      <c r="K7" s="131">
        <f t="shared" si="9"/>
        <v>150664.35</v>
      </c>
      <c r="L7" s="134">
        <v>0.1792</v>
      </c>
      <c r="N7" s="227">
        <v>42430</v>
      </c>
      <c r="O7" s="35">
        <f t="shared" si="28"/>
        <v>31084998.603374995</v>
      </c>
      <c r="P7" s="35">
        <f t="shared" si="0"/>
        <v>5570431.7497247998</v>
      </c>
      <c r="Q7" s="35">
        <f>SUMIFS(H$3:H$4626,$E$3:$E$4626,$N7)</f>
        <v>9654247.879999999</v>
      </c>
      <c r="R7" s="35">
        <f>SUMIFS(I$3:I$4626,$E$3:$E$4626,$N7)</f>
        <v>1689589.0299999998</v>
      </c>
      <c r="S7" s="35">
        <f t="shared" si="10"/>
        <v>190846.47</v>
      </c>
      <c r="T7" s="35">
        <f t="shared" si="3"/>
        <v>11534683.379999999</v>
      </c>
      <c r="U7" s="34">
        <f t="shared" si="4"/>
        <v>0.21832358674463936</v>
      </c>
      <c r="V7" s="232"/>
      <c r="W7" s="272">
        <v>45078</v>
      </c>
      <c r="X7" s="161">
        <v>2023</v>
      </c>
      <c r="Y7" s="35">
        <f t="shared" si="11"/>
        <v>262343421.51999995</v>
      </c>
      <c r="Z7" s="35">
        <f t="shared" si="12"/>
        <v>738895937.33000004</v>
      </c>
      <c r="AA7" s="423">
        <f t="shared" si="13"/>
        <v>80046947.469999999</v>
      </c>
      <c r="AB7" s="423">
        <f t="shared" si="14"/>
        <v>171639037.74000001</v>
      </c>
      <c r="AC7" s="423">
        <f t="shared" si="15"/>
        <v>10657436.310000002</v>
      </c>
      <c r="AD7" s="423">
        <f t="shared" si="16"/>
        <v>262343421.52000001</v>
      </c>
      <c r="AE7" s="423">
        <v>76667594.559999987</v>
      </c>
      <c r="AF7" s="423">
        <v>4133076.79</v>
      </c>
      <c r="AG7" s="35">
        <f t="shared" si="5"/>
        <v>80800671.349999994</v>
      </c>
      <c r="AH7" s="423">
        <v>10961693.35</v>
      </c>
      <c r="AI7" s="223"/>
      <c r="AJ7" s="233"/>
      <c r="AL7" s="161">
        <f t="shared" si="17"/>
        <v>2019</v>
      </c>
      <c r="AM7" s="227">
        <v>43586</v>
      </c>
      <c r="AN7" s="476">
        <v>43176459.980000004</v>
      </c>
      <c r="AO7" s="131">
        <f t="shared" si="18"/>
        <v>7737221.6284160009</v>
      </c>
      <c r="AP7" s="131">
        <v>6366579.4466666663</v>
      </c>
      <c r="AQ7" s="131">
        <v>6838210.126666666</v>
      </c>
      <c r="AR7" s="131">
        <v>772845.43833333335</v>
      </c>
      <c r="AS7" s="131">
        <f t="shared" si="19"/>
        <v>13977635.011666665</v>
      </c>
      <c r="AT7" s="134">
        <f t="shared" si="20"/>
        <v>0.21832358674463936</v>
      </c>
      <c r="AV7" s="161">
        <v>2023</v>
      </c>
      <c r="AW7" s="35">
        <f>SUMIFS(AN$3:AN$70,$AL$3:$AL$70,$AV7)</f>
        <v>738895937.33000004</v>
      </c>
      <c r="AX7" s="35">
        <f t="shared" si="6"/>
        <v>132410151.96953602</v>
      </c>
      <c r="AY7" s="35">
        <f t="shared" si="6"/>
        <v>80046947.469999999</v>
      </c>
      <c r="AZ7" s="35">
        <f t="shared" si="6"/>
        <v>171639037.74000001</v>
      </c>
      <c r="BA7" s="35">
        <f t="shared" si="6"/>
        <v>10657436.310000002</v>
      </c>
      <c r="BB7" s="35">
        <f t="shared" si="21"/>
        <v>262343421.52000001</v>
      </c>
      <c r="BC7" s="34">
        <f t="shared" si="22"/>
        <v>0.21832358674463959</v>
      </c>
      <c r="BD7" s="35">
        <f t="shared" si="23"/>
        <v>80046947.469999999</v>
      </c>
      <c r="BE7" s="35">
        <f t="shared" si="24"/>
        <v>171639037.74000001</v>
      </c>
      <c r="BF7" s="35">
        <f t="shared" si="25"/>
        <v>10657436.310000002</v>
      </c>
      <c r="BG7" s="35">
        <f t="shared" si="26"/>
        <v>262343421.52000001</v>
      </c>
      <c r="BH7" s="35">
        <f t="shared" si="27"/>
        <v>4133076.79</v>
      </c>
    </row>
    <row r="8" spans="1:68">
      <c r="C8" s="161">
        <f t="shared" si="7"/>
        <v>2016</v>
      </c>
      <c r="D8" s="35" t="s">
        <v>260</v>
      </c>
      <c r="E8" s="227">
        <v>42461</v>
      </c>
      <c r="F8" s="156">
        <v>210171.89</v>
      </c>
      <c r="G8" s="131">
        <f t="shared" si="8"/>
        <v>37662.802688000003</v>
      </c>
      <c r="H8" s="156">
        <v>1751.84</v>
      </c>
      <c r="I8" s="156">
        <v>0</v>
      </c>
      <c r="J8" s="156">
        <v>3562.15</v>
      </c>
      <c r="K8" s="131">
        <f t="shared" si="9"/>
        <v>5313.99</v>
      </c>
      <c r="L8" s="134">
        <v>0.1792</v>
      </c>
      <c r="N8" s="227">
        <v>42461</v>
      </c>
      <c r="O8" s="35">
        <f t="shared" si="28"/>
        <v>34830343.997274995</v>
      </c>
      <c r="P8" s="35">
        <f t="shared" si="0"/>
        <v>6241597.6443116777</v>
      </c>
      <c r="Q8" s="35">
        <f t="shared" si="1"/>
        <v>7477104.3700000001</v>
      </c>
      <c r="R8" s="35">
        <f t="shared" si="2"/>
        <v>1798529.1499999994</v>
      </c>
      <c r="S8" s="35">
        <f t="shared" si="10"/>
        <v>70784.469999999987</v>
      </c>
      <c r="T8" s="35">
        <f t="shared" si="3"/>
        <v>9346417.9900000002</v>
      </c>
      <c r="U8" s="34">
        <f t="shared" si="4"/>
        <v>0.21832358674463936</v>
      </c>
      <c r="V8" s="232"/>
      <c r="W8" s="272">
        <v>45444</v>
      </c>
      <c r="X8" s="161">
        <v>2024</v>
      </c>
      <c r="Y8" s="35">
        <f t="shared" si="11"/>
        <v>184583634.78199995</v>
      </c>
      <c r="Z8" s="35">
        <f t="shared" si="12"/>
        <v>798007612.31640005</v>
      </c>
      <c r="AA8" s="423">
        <f t="shared" si="13"/>
        <v>66562052.538000017</v>
      </c>
      <c r="AB8" s="423">
        <f t="shared" si="14"/>
        <v>107259237.79599994</v>
      </c>
      <c r="AC8" s="423">
        <f t="shared" si="15"/>
        <v>10762344.448000005</v>
      </c>
      <c r="AD8" s="423">
        <f t="shared" si="16"/>
        <v>184583634.78199998</v>
      </c>
      <c r="AE8" s="423">
        <f>AVERAGE(AE3:AE7)</f>
        <v>71551667.909999996</v>
      </c>
      <c r="AF8" s="423">
        <f>AVERAGE(AF3:AF7)</f>
        <v>48763845.847999997</v>
      </c>
      <c r="AG8" s="35">
        <f t="shared" si="5"/>
        <v>120315513.75799999</v>
      </c>
      <c r="AH8" s="423">
        <f>AVERAGE(AH3:AH7)</f>
        <v>15173874.109999999</v>
      </c>
      <c r="AJ8" s="233"/>
      <c r="AL8" s="161">
        <f t="shared" si="17"/>
        <v>2019</v>
      </c>
      <c r="AM8" s="227">
        <v>43617</v>
      </c>
      <c r="AN8" s="476">
        <v>43444241.110000014</v>
      </c>
      <c r="AO8" s="131">
        <f t="shared" si="18"/>
        <v>7785208.0069120023</v>
      </c>
      <c r="AP8" s="131">
        <v>6366579.4466666663</v>
      </c>
      <c r="AQ8" s="131">
        <v>6838210.126666666</v>
      </c>
      <c r="AR8" s="131">
        <v>772845.43833333335</v>
      </c>
      <c r="AS8" s="131">
        <f t="shared" si="19"/>
        <v>13977635.011666665</v>
      </c>
      <c r="AT8" s="134">
        <f t="shared" si="20"/>
        <v>0.21832358674463936</v>
      </c>
      <c r="AV8" s="161">
        <v>2024</v>
      </c>
      <c r="AW8" s="35">
        <f>SUMIFS(AN$3:AN$74,$AL$3:$AL$74,$AV8)</f>
        <v>798007612.31640005</v>
      </c>
      <c r="AX8" s="35">
        <f>SUMIFS(AO$3:AO$74,$AL$3:$AL$74,$AV8)</f>
        <v>143002964.12709889</v>
      </c>
      <c r="AY8" s="35">
        <f>SUMIFS(AP$3:AP$74,$AL$3:$AL$74,$AV8)</f>
        <v>66562052.538000017</v>
      </c>
      <c r="AZ8" s="35">
        <f>SUMIFS(AQ$3:AQ$74,$AL$3:$AL$74,$AV8)</f>
        <v>107259237.79599994</v>
      </c>
      <c r="BA8" s="35">
        <f t="shared" ref="BA8" si="29">SUMIFS(AR$3:AR$70,$AL$3:$AL$70,$AV8)</f>
        <v>7174896.2986666691</v>
      </c>
      <c r="BB8" s="35">
        <f t="shared" si="21"/>
        <v>180996186.63266662</v>
      </c>
      <c r="BC8" s="34">
        <f t="shared" si="22"/>
        <v>0.21832358674463936</v>
      </c>
      <c r="BD8" s="35">
        <f>SUMIFS($AP$3:$AP$74,$AL$3:$AL$74,"="&amp;AV8)</f>
        <v>66562052.538000017</v>
      </c>
      <c r="BE8" s="35">
        <f t="shared" si="24"/>
        <v>107259237.79599994</v>
      </c>
      <c r="BF8" s="35">
        <f t="shared" si="25"/>
        <v>10762344.448000005</v>
      </c>
      <c r="BG8" s="35">
        <f t="shared" si="26"/>
        <v>184583634.78199998</v>
      </c>
      <c r="BH8" s="35">
        <f t="shared" si="27"/>
        <v>48763845.847999997</v>
      </c>
    </row>
    <row r="9" spans="1:68">
      <c r="C9" s="161">
        <f t="shared" si="7"/>
        <v>2016</v>
      </c>
      <c r="D9" s="35" t="s">
        <v>260</v>
      </c>
      <c r="E9" s="227">
        <v>42491</v>
      </c>
      <c r="F9" s="156">
        <v>182255.8</v>
      </c>
      <c r="G9" s="131">
        <f t="shared" si="8"/>
        <v>32660.239359999996</v>
      </c>
      <c r="H9" s="156">
        <v>4658.68</v>
      </c>
      <c r="I9" s="156">
        <v>0</v>
      </c>
      <c r="J9" s="156">
        <v>0</v>
      </c>
      <c r="K9" s="131">
        <f t="shared" si="9"/>
        <v>4658.68</v>
      </c>
      <c r="L9" s="134">
        <v>0.1792</v>
      </c>
      <c r="N9" s="227">
        <v>42491</v>
      </c>
      <c r="O9" s="35">
        <f t="shared" si="28"/>
        <v>31877742.923024993</v>
      </c>
      <c r="P9" s="35">
        <f t="shared" si="0"/>
        <v>5712491.5318060778</v>
      </c>
      <c r="Q9" s="35">
        <f t="shared" si="1"/>
        <v>5928372.1400000025</v>
      </c>
      <c r="R9" s="35">
        <f t="shared" si="2"/>
        <v>1791147.1600000001</v>
      </c>
      <c r="S9" s="35">
        <f t="shared" si="10"/>
        <v>240050.68</v>
      </c>
      <c r="T9" s="35">
        <f t="shared" si="3"/>
        <v>7959569.9800000023</v>
      </c>
      <c r="U9" s="34">
        <f t="shared" si="4"/>
        <v>0.21832358674463936</v>
      </c>
      <c r="V9" s="232"/>
      <c r="W9" s="28" t="s">
        <v>352</v>
      </c>
      <c r="X9" s="119"/>
      <c r="Y9" s="119"/>
      <c r="Z9" s="119"/>
      <c r="AA9" s="119"/>
      <c r="AB9" s="119"/>
      <c r="AC9" s="138">
        <v>8205012.8300000001</v>
      </c>
      <c r="AD9" s="119"/>
      <c r="AE9" s="119"/>
      <c r="AF9" s="119"/>
      <c r="AG9" s="119"/>
      <c r="AH9" s="119"/>
      <c r="AI9" s="232"/>
      <c r="AJ9" s="233"/>
      <c r="AL9" s="161">
        <f t="shared" si="17"/>
        <v>2019</v>
      </c>
      <c r="AM9" s="227">
        <v>43647</v>
      </c>
      <c r="AN9" s="476">
        <v>43367896.780000009</v>
      </c>
      <c r="AO9" s="131">
        <f t="shared" si="18"/>
        <v>7771527.1029760018</v>
      </c>
      <c r="AP9" s="131">
        <v>6366579.4466666663</v>
      </c>
      <c r="AQ9" s="131">
        <v>6838210.126666666</v>
      </c>
      <c r="AR9" s="131">
        <v>772845.43833333335</v>
      </c>
      <c r="AS9" s="131">
        <f t="shared" si="19"/>
        <v>13977635.011666665</v>
      </c>
      <c r="AT9" s="134">
        <f t="shared" si="20"/>
        <v>0.21832358674463936</v>
      </c>
      <c r="AV9" s="161">
        <v>2025</v>
      </c>
      <c r="AW9" s="35">
        <f>AW8*1.05</f>
        <v>837907992.9322201</v>
      </c>
      <c r="AX9" s="35">
        <f t="shared" ref="AX9:BB9" si="30">AX8*1.05</f>
        <v>150153112.33345383</v>
      </c>
      <c r="AY9" s="35">
        <f t="shared" si="30"/>
        <v>69890155.16490002</v>
      </c>
      <c r="AZ9" s="35">
        <f t="shared" si="30"/>
        <v>112622199.68579994</v>
      </c>
      <c r="BA9" s="35">
        <f t="shared" si="30"/>
        <v>7533641.1136000026</v>
      </c>
      <c r="BB9" s="35">
        <f t="shared" si="30"/>
        <v>190045995.96429995</v>
      </c>
      <c r="BC9" s="34">
        <f>(AW9)/(AW9-AX9)-1</f>
        <v>0.21832358674463936</v>
      </c>
      <c r="BD9" s="35">
        <f>BD8*1.05</f>
        <v>69890155.16490002</v>
      </c>
      <c r="BE9" s="35">
        <f t="shared" ref="BE9:BH9" si="31">BE8*1.05</f>
        <v>112622199.68579994</v>
      </c>
      <c r="BF9" s="35">
        <f t="shared" si="31"/>
        <v>11300461.670400005</v>
      </c>
      <c r="BG9" s="35">
        <f t="shared" si="31"/>
        <v>193812816.52109998</v>
      </c>
      <c r="BH9" s="35">
        <f t="shared" si="31"/>
        <v>51202038.1404</v>
      </c>
    </row>
    <row r="10" spans="1:68">
      <c r="C10" s="161">
        <f t="shared" si="7"/>
        <v>2016</v>
      </c>
      <c r="D10" s="35" t="s">
        <v>260</v>
      </c>
      <c r="E10" s="227">
        <v>42522</v>
      </c>
      <c r="F10" s="156">
        <v>174215.33</v>
      </c>
      <c r="G10" s="131">
        <f t="shared" si="8"/>
        <v>31219.387135999998</v>
      </c>
      <c r="H10" s="156">
        <v>2598.7399999999998</v>
      </c>
      <c r="I10" s="156">
        <v>0</v>
      </c>
      <c r="J10" s="156">
        <v>9973.35</v>
      </c>
      <c r="K10" s="131">
        <f t="shared" si="9"/>
        <v>12572.09</v>
      </c>
      <c r="L10" s="134">
        <v>0.1792</v>
      </c>
      <c r="N10" s="227">
        <v>42522</v>
      </c>
      <c r="O10" s="35">
        <f t="shared" si="28"/>
        <v>30729977.806349985</v>
      </c>
      <c r="P10" s="35">
        <f t="shared" si="0"/>
        <v>5506812.0228979187</v>
      </c>
      <c r="Q10" s="35">
        <f t="shared" si="1"/>
        <v>4513642.5900000008</v>
      </c>
      <c r="R10" s="35">
        <f t="shared" si="2"/>
        <v>2152267.4</v>
      </c>
      <c r="S10" s="35">
        <f t="shared" si="10"/>
        <v>974352.25000000012</v>
      </c>
      <c r="T10" s="35">
        <f t="shared" si="3"/>
        <v>7640262.2400000002</v>
      </c>
      <c r="U10" s="34">
        <f t="shared" si="4"/>
        <v>0.21832358674463936</v>
      </c>
      <c r="V10" s="232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232"/>
      <c r="AJ10" s="233"/>
      <c r="AL10" s="161">
        <f t="shared" si="17"/>
        <v>2019</v>
      </c>
      <c r="AM10" s="227">
        <v>43678</v>
      </c>
      <c r="AN10" s="476">
        <v>46336155.889999993</v>
      </c>
      <c r="AO10" s="131">
        <f t="shared" si="18"/>
        <v>8303439.1354879988</v>
      </c>
      <c r="AP10" s="131">
        <v>6366579.4466666663</v>
      </c>
      <c r="AQ10" s="131">
        <v>6838210.126666666</v>
      </c>
      <c r="AR10" s="131">
        <v>772845.43833333335</v>
      </c>
      <c r="AS10" s="131">
        <f t="shared" si="19"/>
        <v>13977635.011666665</v>
      </c>
      <c r="AT10" s="134">
        <f t="shared" si="20"/>
        <v>0.21832358674463936</v>
      </c>
      <c r="AW10" s="577">
        <f>SUM(AW3:AW9)</f>
        <v>4833312361.7786207</v>
      </c>
      <c r="AX10" s="577">
        <f t="shared" ref="AX10:BH10" si="32">SUM(AX3:AX9)</f>
        <v>866129575.23072886</v>
      </c>
      <c r="AY10" s="577">
        <f t="shared" si="32"/>
        <v>469262470.39289993</v>
      </c>
      <c r="AZ10" s="577">
        <f t="shared" si="32"/>
        <v>756177626.46179986</v>
      </c>
      <c r="BA10" s="577">
        <f t="shared" si="32"/>
        <v>68520259.652266681</v>
      </c>
      <c r="BB10" s="577">
        <f t="shared" si="32"/>
        <v>1293960356.5069664</v>
      </c>
      <c r="BC10" s="577">
        <f t="shared" si="32"/>
        <v>1.5282651072124758</v>
      </c>
      <c r="BD10" s="577">
        <f t="shared" si="32"/>
        <v>469262470.39289993</v>
      </c>
      <c r="BE10" s="577">
        <f t="shared" si="32"/>
        <v>756177626.46179986</v>
      </c>
      <c r="BF10" s="577">
        <f t="shared" si="32"/>
        <v>75874528.358400017</v>
      </c>
      <c r="BG10" s="577">
        <f t="shared" si="32"/>
        <v>1301314625.2131</v>
      </c>
      <c r="BH10" s="577">
        <f t="shared" si="32"/>
        <v>343785113.22839999</v>
      </c>
    </row>
    <row r="11" spans="1:68">
      <c r="C11" s="161">
        <f t="shared" si="7"/>
        <v>2016</v>
      </c>
      <c r="D11" s="35" t="s">
        <v>260</v>
      </c>
      <c r="E11" s="227">
        <v>42552</v>
      </c>
      <c r="F11" s="156">
        <v>191492.38</v>
      </c>
      <c r="G11" s="131">
        <f t="shared" si="8"/>
        <v>34315.434496000002</v>
      </c>
      <c r="H11" s="156">
        <v>1541.07</v>
      </c>
      <c r="I11" s="156">
        <v>0</v>
      </c>
      <c r="J11" s="156">
        <v>0</v>
      </c>
      <c r="K11" s="131">
        <f t="shared" si="9"/>
        <v>1541.07</v>
      </c>
      <c r="L11" s="134">
        <v>0.1792</v>
      </c>
      <c r="N11" s="227">
        <v>42552</v>
      </c>
      <c r="O11" s="35">
        <f t="shared" si="28"/>
        <v>34947323.770599999</v>
      </c>
      <c r="P11" s="35">
        <f t="shared" si="0"/>
        <v>6262560.4196915245</v>
      </c>
      <c r="Q11" s="35">
        <f t="shared" si="1"/>
        <v>6640666.8899999969</v>
      </c>
      <c r="R11" s="35">
        <f t="shared" si="2"/>
        <v>3516487.94</v>
      </c>
      <c r="S11" s="35">
        <f t="shared" si="10"/>
        <v>243178.12</v>
      </c>
      <c r="T11" s="35">
        <f t="shared" si="3"/>
        <v>10400332.949999996</v>
      </c>
      <c r="U11" s="34">
        <f t="shared" si="4"/>
        <v>0.21832358674463959</v>
      </c>
      <c r="V11" s="232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232"/>
      <c r="AJ11" s="233"/>
      <c r="AL11" s="161">
        <f t="shared" si="17"/>
        <v>2019</v>
      </c>
      <c r="AM11" s="227">
        <v>43709</v>
      </c>
      <c r="AN11" s="476">
        <v>50784420.850000001</v>
      </c>
      <c r="AO11" s="131">
        <f t="shared" si="18"/>
        <v>9100568.2163200006</v>
      </c>
      <c r="AP11" s="131">
        <v>6366579.4466666663</v>
      </c>
      <c r="AQ11" s="131">
        <v>6838210.126666666</v>
      </c>
      <c r="AR11" s="131">
        <v>772845.43833333335</v>
      </c>
      <c r="AS11" s="131">
        <f t="shared" si="19"/>
        <v>13977635.011666665</v>
      </c>
      <c r="AT11" s="134">
        <f t="shared" si="20"/>
        <v>0.21832358674463936</v>
      </c>
      <c r="AY11" s="577"/>
      <c r="AZ11" s="577"/>
      <c r="BA11" s="577"/>
    </row>
    <row r="12" spans="1:68">
      <c r="C12" s="161">
        <f t="shared" si="7"/>
        <v>2016</v>
      </c>
      <c r="D12" s="35" t="s">
        <v>260</v>
      </c>
      <c r="E12" s="227">
        <v>42583</v>
      </c>
      <c r="F12" s="156">
        <v>201643.76</v>
      </c>
      <c r="G12" s="131">
        <f t="shared" si="8"/>
        <v>36134.561792</v>
      </c>
      <c r="H12" s="156">
        <v>34478.9</v>
      </c>
      <c r="I12" s="156">
        <v>0</v>
      </c>
      <c r="J12" s="156">
        <v>0</v>
      </c>
      <c r="K12" s="131">
        <f t="shared" si="9"/>
        <v>34478.9</v>
      </c>
      <c r="L12" s="134">
        <v>0.1792</v>
      </c>
      <c r="N12" s="227">
        <v>42583</v>
      </c>
      <c r="O12" s="35">
        <f t="shared" si="28"/>
        <v>35694001.667774998</v>
      </c>
      <c r="P12" s="35">
        <f t="shared" si="0"/>
        <v>6396365.098865279</v>
      </c>
      <c r="Q12" s="35">
        <f t="shared" si="1"/>
        <v>4897351.1199999982</v>
      </c>
      <c r="R12" s="35">
        <f t="shared" si="2"/>
        <v>3795333.1500000013</v>
      </c>
      <c r="S12" s="35">
        <f t="shared" si="10"/>
        <v>276686.15000000002</v>
      </c>
      <c r="T12" s="35">
        <f t="shared" si="3"/>
        <v>8969370.4199999999</v>
      </c>
      <c r="U12" s="34">
        <f t="shared" si="4"/>
        <v>0.21832358674463936</v>
      </c>
      <c r="V12" s="232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232"/>
      <c r="AJ12" s="233"/>
      <c r="AL12" s="161">
        <f t="shared" si="17"/>
        <v>2019</v>
      </c>
      <c r="AM12" s="227">
        <v>43739</v>
      </c>
      <c r="AN12" s="476">
        <v>49706827.060000002</v>
      </c>
      <c r="AO12" s="131">
        <f t="shared" si="18"/>
        <v>8907463.4091520011</v>
      </c>
      <c r="AP12" s="131">
        <v>6366579.4466666663</v>
      </c>
      <c r="AQ12" s="131">
        <v>6838210.126666666</v>
      </c>
      <c r="AR12" s="131">
        <v>772845.43833333335</v>
      </c>
      <c r="AS12" s="131">
        <f t="shared" si="19"/>
        <v>13977635.011666665</v>
      </c>
      <c r="AT12" s="134">
        <f t="shared" si="20"/>
        <v>0.21832358674463936</v>
      </c>
    </row>
    <row r="13" spans="1:68">
      <c r="C13" s="161">
        <f t="shared" si="7"/>
        <v>2016</v>
      </c>
      <c r="D13" s="35" t="s">
        <v>260</v>
      </c>
      <c r="E13" s="227">
        <v>42614</v>
      </c>
      <c r="F13" s="156">
        <v>201713.01</v>
      </c>
      <c r="G13" s="131">
        <f t="shared" si="8"/>
        <v>36146.971391999999</v>
      </c>
      <c r="H13" s="156">
        <v>4771.08</v>
      </c>
      <c r="I13" s="156">
        <v>0</v>
      </c>
      <c r="J13" s="156">
        <v>0</v>
      </c>
      <c r="K13" s="131">
        <f t="shared" si="9"/>
        <v>4771.08</v>
      </c>
      <c r="L13" s="134">
        <v>0.1792</v>
      </c>
      <c r="N13" s="227">
        <v>42614</v>
      </c>
      <c r="O13" s="35">
        <f t="shared" si="28"/>
        <v>35238395.541600004</v>
      </c>
      <c r="P13" s="35">
        <f t="shared" si="0"/>
        <v>6314720.4810547205</v>
      </c>
      <c r="Q13" s="35">
        <f t="shared" si="1"/>
        <v>7776341.9100000011</v>
      </c>
      <c r="R13" s="35">
        <f t="shared" si="2"/>
        <v>8066189.0900000008</v>
      </c>
      <c r="S13" s="35">
        <f t="shared" si="10"/>
        <v>18556.73</v>
      </c>
      <c r="T13" s="35">
        <f t="shared" si="3"/>
        <v>15861087.730000002</v>
      </c>
      <c r="U13" s="34">
        <f t="shared" si="4"/>
        <v>0.21832358674463936</v>
      </c>
      <c r="V13" s="232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232"/>
      <c r="AJ13" s="233"/>
      <c r="AL13" s="161">
        <f t="shared" si="17"/>
        <v>2019</v>
      </c>
      <c r="AM13" s="227">
        <v>43770</v>
      </c>
      <c r="AN13" s="476">
        <v>53263022.000000007</v>
      </c>
      <c r="AO13" s="131">
        <f t="shared" si="18"/>
        <v>9544733.5424000006</v>
      </c>
      <c r="AP13" s="131">
        <v>6366579.4466666663</v>
      </c>
      <c r="AQ13" s="131">
        <v>6838210.126666666</v>
      </c>
      <c r="AR13" s="131">
        <v>772845.43833333335</v>
      </c>
      <c r="AS13" s="131">
        <f t="shared" si="19"/>
        <v>13977635.011666665</v>
      </c>
      <c r="AT13" s="134">
        <f t="shared" si="20"/>
        <v>0.21832358674463936</v>
      </c>
    </row>
    <row r="14" spans="1:68">
      <c r="C14" s="161">
        <f t="shared" si="7"/>
        <v>2016</v>
      </c>
      <c r="D14" s="35" t="s">
        <v>260</v>
      </c>
      <c r="E14" s="227">
        <v>42644</v>
      </c>
      <c r="F14" s="156">
        <v>224535.77</v>
      </c>
      <c r="G14" s="131">
        <f t="shared" si="8"/>
        <v>40236.809984</v>
      </c>
      <c r="H14" s="156">
        <v>3728.24</v>
      </c>
      <c r="I14" s="156">
        <v>0</v>
      </c>
      <c r="J14" s="156">
        <v>1391.32</v>
      </c>
      <c r="K14" s="131">
        <f t="shared" si="9"/>
        <v>5119.5599999999995</v>
      </c>
      <c r="L14" s="134">
        <v>0.1792</v>
      </c>
      <c r="N14" s="227">
        <v>42644</v>
      </c>
      <c r="O14" s="35">
        <f t="shared" si="28"/>
        <v>36916341.290824987</v>
      </c>
      <c r="P14" s="35">
        <f t="shared" si="0"/>
        <v>6615408.3593158405</v>
      </c>
      <c r="Q14" s="35">
        <f t="shared" si="1"/>
        <v>7878194.7610000009</v>
      </c>
      <c r="R14" s="35">
        <f t="shared" si="2"/>
        <v>3295001.25</v>
      </c>
      <c r="S14" s="35">
        <f t="shared" si="10"/>
        <v>195461.18000000002</v>
      </c>
      <c r="T14" s="35">
        <f t="shared" si="3"/>
        <v>11368657.191</v>
      </c>
      <c r="U14" s="34">
        <f t="shared" si="4"/>
        <v>0.21832358674463959</v>
      </c>
      <c r="V14" s="232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232"/>
      <c r="AJ14" s="233"/>
      <c r="AL14" s="161">
        <f t="shared" si="17"/>
        <v>2019</v>
      </c>
      <c r="AM14" s="227">
        <v>43800</v>
      </c>
      <c r="AN14" s="476">
        <v>50417087.609999999</v>
      </c>
      <c r="AO14" s="131">
        <f t="shared" si="18"/>
        <v>9034742.0997119993</v>
      </c>
      <c r="AP14" s="131">
        <v>6366579.4466666663</v>
      </c>
      <c r="AQ14" s="131">
        <v>6838210.126666666</v>
      </c>
      <c r="AR14" s="131">
        <v>772845.43833333335</v>
      </c>
      <c r="AS14" s="131">
        <f t="shared" si="19"/>
        <v>13977635.011666665</v>
      </c>
      <c r="AT14" s="134">
        <f t="shared" si="20"/>
        <v>0.21832358674463936</v>
      </c>
    </row>
    <row r="15" spans="1:68">
      <c r="C15" s="161">
        <f t="shared" si="7"/>
        <v>2016</v>
      </c>
      <c r="D15" s="35" t="s">
        <v>260</v>
      </c>
      <c r="E15" s="227">
        <v>42675</v>
      </c>
      <c r="F15" s="156">
        <v>229885.7</v>
      </c>
      <c r="G15" s="131">
        <f t="shared" si="8"/>
        <v>41195.517440000003</v>
      </c>
      <c r="H15" s="156">
        <v>2770.94</v>
      </c>
      <c r="I15" s="156">
        <v>0</v>
      </c>
      <c r="J15" s="156">
        <v>0</v>
      </c>
      <c r="K15" s="131">
        <f t="shared" si="9"/>
        <v>2770.94</v>
      </c>
      <c r="L15" s="134">
        <v>0.1792</v>
      </c>
      <c r="N15" s="227">
        <v>42675</v>
      </c>
      <c r="O15" s="35">
        <f t="shared" si="28"/>
        <v>38463879.810550004</v>
      </c>
      <c r="P15" s="35">
        <f t="shared" si="0"/>
        <v>6892727.2620505588</v>
      </c>
      <c r="Q15" s="35">
        <f t="shared" si="1"/>
        <v>6891577.919999999</v>
      </c>
      <c r="R15" s="35">
        <f t="shared" si="2"/>
        <v>4512290.040000001</v>
      </c>
      <c r="S15" s="35">
        <f t="shared" si="10"/>
        <v>138790.53</v>
      </c>
      <c r="T15" s="35">
        <f t="shared" si="3"/>
        <v>11542658.49</v>
      </c>
      <c r="U15" s="34">
        <f t="shared" si="4"/>
        <v>0.21832358674463936</v>
      </c>
      <c r="V15" s="232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232"/>
      <c r="AJ15" s="233"/>
      <c r="AL15" s="161">
        <f t="shared" si="17"/>
        <v>2020</v>
      </c>
      <c r="AM15" s="227">
        <v>43831</v>
      </c>
      <c r="AN15" s="476">
        <v>49117616.300000004</v>
      </c>
      <c r="AO15" s="131">
        <f t="shared" si="18"/>
        <v>8801876.8409600016</v>
      </c>
      <c r="AP15" s="131">
        <v>4672549.2050000001</v>
      </c>
      <c r="AQ15" s="131">
        <v>5487487.7024999997</v>
      </c>
      <c r="AR15" s="131">
        <v>214492.61583333334</v>
      </c>
      <c r="AS15" s="131">
        <v>10374529.523333333</v>
      </c>
      <c r="AT15" s="134">
        <f t="shared" si="20"/>
        <v>0.21832358674463936</v>
      </c>
    </row>
    <row r="16" spans="1:68">
      <c r="C16" s="161">
        <f t="shared" si="7"/>
        <v>2016</v>
      </c>
      <c r="D16" s="35" t="s">
        <v>260</v>
      </c>
      <c r="E16" s="227">
        <v>42705</v>
      </c>
      <c r="F16" s="156">
        <v>232344.36</v>
      </c>
      <c r="G16" s="131">
        <f t="shared" si="8"/>
        <v>41636.109312000001</v>
      </c>
      <c r="H16" s="156">
        <v>32565.360000000001</v>
      </c>
      <c r="I16" s="156">
        <v>0</v>
      </c>
      <c r="J16" s="156">
        <v>0</v>
      </c>
      <c r="K16" s="131">
        <f t="shared" si="9"/>
        <v>32565.360000000001</v>
      </c>
      <c r="L16" s="134">
        <v>0.1792</v>
      </c>
      <c r="N16" s="227">
        <v>42705</v>
      </c>
      <c r="O16" s="35">
        <f t="shared" si="28"/>
        <v>37558794.331350006</v>
      </c>
      <c r="P16" s="35">
        <f t="shared" si="0"/>
        <v>6730535.9441779181</v>
      </c>
      <c r="Q16" s="35">
        <f t="shared" si="1"/>
        <v>5380789.7199999997</v>
      </c>
      <c r="R16" s="35">
        <f t="shared" si="2"/>
        <v>2713763.17</v>
      </c>
      <c r="S16" s="35">
        <f t="shared" si="10"/>
        <v>457878.99000000011</v>
      </c>
      <c r="T16" s="35">
        <f t="shared" si="3"/>
        <v>8552431.879999999</v>
      </c>
      <c r="U16" s="34">
        <f t="shared" si="4"/>
        <v>0.21832358674463936</v>
      </c>
      <c r="V16" s="232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232"/>
      <c r="AJ16" s="233"/>
      <c r="AL16" s="161">
        <f t="shared" si="17"/>
        <v>2020</v>
      </c>
      <c r="AM16" s="227">
        <v>43862</v>
      </c>
      <c r="AN16" s="476">
        <v>47171510.830000021</v>
      </c>
      <c r="AO16" s="131">
        <f t="shared" si="18"/>
        <v>8453134.740736004</v>
      </c>
      <c r="AP16" s="131">
        <v>4672549.2050000001</v>
      </c>
      <c r="AQ16" s="131">
        <v>5487487.7024999997</v>
      </c>
      <c r="AR16" s="131">
        <v>214492.61583333334</v>
      </c>
      <c r="AS16" s="131">
        <v>10374529.523333333</v>
      </c>
      <c r="AT16" s="134">
        <f t="shared" si="20"/>
        <v>0.21832358674463936</v>
      </c>
    </row>
    <row r="17" spans="3:55">
      <c r="C17" s="161">
        <f t="shared" si="7"/>
        <v>2017</v>
      </c>
      <c r="D17" s="35" t="s">
        <v>260</v>
      </c>
      <c r="E17" s="227">
        <v>42736</v>
      </c>
      <c r="F17" s="156">
        <v>226603.74</v>
      </c>
      <c r="G17" s="131">
        <f t="shared" si="8"/>
        <v>40607.390207999997</v>
      </c>
      <c r="H17" s="156">
        <v>3388.78</v>
      </c>
      <c r="I17" s="156">
        <v>0</v>
      </c>
      <c r="J17" s="156">
        <v>266</v>
      </c>
      <c r="K17" s="131">
        <f t="shared" si="9"/>
        <v>3654.78</v>
      </c>
      <c r="L17" s="134">
        <v>0.1792</v>
      </c>
      <c r="N17" s="227">
        <v>42736</v>
      </c>
      <c r="O17" s="35">
        <f t="shared" si="28"/>
        <v>39166992.901175</v>
      </c>
      <c r="P17" s="35">
        <f t="shared" si="0"/>
        <v>7018725.1278905617</v>
      </c>
      <c r="Q17" s="35">
        <f t="shared" si="1"/>
        <v>2636549.5499999998</v>
      </c>
      <c r="R17" s="35">
        <f t="shared" si="2"/>
        <v>4530760.41</v>
      </c>
      <c r="S17" s="35">
        <f t="shared" si="10"/>
        <v>410829.71</v>
      </c>
      <c r="T17" s="35">
        <f t="shared" si="3"/>
        <v>7578139.6699999999</v>
      </c>
      <c r="U17" s="34">
        <f t="shared" si="4"/>
        <v>0.21832358674463936</v>
      </c>
      <c r="V17" s="232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232"/>
      <c r="AJ17" s="233"/>
      <c r="AL17" s="161">
        <f t="shared" si="17"/>
        <v>2020</v>
      </c>
      <c r="AM17" s="227">
        <v>43891</v>
      </c>
      <c r="AN17" s="476">
        <v>46956099.310000017</v>
      </c>
      <c r="AO17" s="131">
        <f t="shared" si="18"/>
        <v>8414532.9963520039</v>
      </c>
      <c r="AP17" s="131">
        <v>4672549.2050000001</v>
      </c>
      <c r="AQ17" s="131">
        <v>5487487.7024999997</v>
      </c>
      <c r="AR17" s="131">
        <v>214492.61583333334</v>
      </c>
      <c r="AS17" s="131">
        <v>10374529.523333333</v>
      </c>
      <c r="AT17" s="134">
        <f t="shared" si="20"/>
        <v>0.21832358674463936</v>
      </c>
    </row>
    <row r="18" spans="3:55">
      <c r="C18" s="161">
        <f t="shared" si="7"/>
        <v>2017</v>
      </c>
      <c r="D18" s="35" t="s">
        <v>260</v>
      </c>
      <c r="E18" s="227">
        <v>42767</v>
      </c>
      <c r="F18" s="156">
        <v>225126.83</v>
      </c>
      <c r="G18" s="131">
        <f t="shared" si="8"/>
        <v>40342.727935999996</v>
      </c>
      <c r="H18" s="156">
        <v>26902.2</v>
      </c>
      <c r="I18" s="156">
        <v>0</v>
      </c>
      <c r="J18" s="156">
        <v>184.2</v>
      </c>
      <c r="K18" s="131">
        <f t="shared" si="9"/>
        <v>27086.400000000001</v>
      </c>
      <c r="L18" s="134">
        <v>0.1792</v>
      </c>
      <c r="N18" s="227">
        <v>42767</v>
      </c>
      <c r="O18" s="35">
        <f t="shared" si="28"/>
        <v>37345211.841625005</v>
      </c>
      <c r="P18" s="35">
        <f t="shared" si="0"/>
        <v>6692261.9620191986</v>
      </c>
      <c r="Q18" s="35">
        <f t="shared" si="1"/>
        <v>2226536.8800000008</v>
      </c>
      <c r="R18" s="35">
        <f t="shared" si="2"/>
        <v>2770111.81</v>
      </c>
      <c r="S18" s="35">
        <f t="shared" si="10"/>
        <v>74174.51999999999</v>
      </c>
      <c r="T18" s="35">
        <f t="shared" si="3"/>
        <v>5070823.2100000009</v>
      </c>
      <c r="U18" s="34">
        <f t="shared" si="4"/>
        <v>0.21832358674463914</v>
      </c>
      <c r="V18" s="232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232"/>
      <c r="AJ18" s="233"/>
      <c r="AL18" s="161">
        <f t="shared" si="17"/>
        <v>2020</v>
      </c>
      <c r="AM18" s="227">
        <v>43922</v>
      </c>
      <c r="AN18" s="476">
        <v>47680518.23999998</v>
      </c>
      <c r="AO18" s="131">
        <f t="shared" si="18"/>
        <v>8544348.868607996</v>
      </c>
      <c r="AP18" s="131">
        <v>4672549.2050000001</v>
      </c>
      <c r="AQ18" s="131">
        <v>5487487.7024999997</v>
      </c>
      <c r="AR18" s="131">
        <v>214492.61583333334</v>
      </c>
      <c r="AS18" s="131">
        <v>10374529.523333333</v>
      </c>
      <c r="AT18" s="134">
        <f t="shared" si="20"/>
        <v>0.21832358674463936</v>
      </c>
    </row>
    <row r="19" spans="3:55">
      <c r="C19" s="161">
        <f t="shared" si="7"/>
        <v>2017</v>
      </c>
      <c r="D19" s="35" t="s">
        <v>260</v>
      </c>
      <c r="E19" s="227">
        <v>42795</v>
      </c>
      <c r="F19" s="156">
        <v>215928.54</v>
      </c>
      <c r="G19" s="131">
        <f t="shared" si="8"/>
        <v>38694.394368000001</v>
      </c>
      <c r="H19" s="156">
        <v>2736.52</v>
      </c>
      <c r="I19" s="156">
        <v>0</v>
      </c>
      <c r="J19" s="156">
        <v>0</v>
      </c>
      <c r="K19" s="131">
        <f t="shared" si="9"/>
        <v>2736.52</v>
      </c>
      <c r="L19" s="134">
        <v>0.1792</v>
      </c>
      <c r="N19" s="227">
        <v>42795</v>
      </c>
      <c r="O19" s="35">
        <f t="shared" si="28"/>
        <v>35911795.796450004</v>
      </c>
      <c r="P19" s="35">
        <f t="shared" si="0"/>
        <v>6435393.8067238405</v>
      </c>
      <c r="Q19" s="35">
        <f t="shared" si="1"/>
        <v>6647376.2800000012</v>
      </c>
      <c r="R19" s="35">
        <f t="shared" si="2"/>
        <v>2958690.1200000006</v>
      </c>
      <c r="S19" s="35">
        <f t="shared" si="10"/>
        <v>208400.09999999995</v>
      </c>
      <c r="T19" s="35">
        <f t="shared" si="3"/>
        <v>9814466.5000000019</v>
      </c>
      <c r="U19" s="34">
        <f t="shared" si="4"/>
        <v>0.21832358674463936</v>
      </c>
      <c r="V19" s="232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232"/>
      <c r="AJ19" s="233"/>
      <c r="AL19" s="161">
        <f t="shared" si="17"/>
        <v>2020</v>
      </c>
      <c r="AM19" s="227">
        <v>43952</v>
      </c>
      <c r="AN19" s="476">
        <v>45528969.779999986</v>
      </c>
      <c r="AO19" s="131">
        <f t="shared" si="18"/>
        <v>8158791.3845759975</v>
      </c>
      <c r="AP19" s="131">
        <v>4672549.2050000001</v>
      </c>
      <c r="AQ19" s="131">
        <v>5487487.7024999997</v>
      </c>
      <c r="AR19" s="131">
        <v>214492.61583333334</v>
      </c>
      <c r="AS19" s="131">
        <v>10374529.523333333</v>
      </c>
      <c r="AT19" s="134">
        <f t="shared" si="20"/>
        <v>0.21832358674463936</v>
      </c>
      <c r="AW19" s="138">
        <v>100487280.932864</v>
      </c>
    </row>
    <row r="20" spans="3:55">
      <c r="C20" s="161">
        <f t="shared" si="7"/>
        <v>2017</v>
      </c>
      <c r="D20" s="35" t="s">
        <v>260</v>
      </c>
      <c r="E20" s="227">
        <v>42826</v>
      </c>
      <c r="F20" s="156">
        <v>229072.88</v>
      </c>
      <c r="G20" s="131">
        <f t="shared" si="8"/>
        <v>41049.860096000004</v>
      </c>
      <c r="H20" s="156">
        <v>2142.19</v>
      </c>
      <c r="I20" s="156">
        <v>0</v>
      </c>
      <c r="J20" s="156">
        <v>0</v>
      </c>
      <c r="K20" s="131">
        <f t="shared" si="9"/>
        <v>2142.19</v>
      </c>
      <c r="L20" s="134">
        <v>0.1792</v>
      </c>
      <c r="N20" s="227">
        <v>42826</v>
      </c>
      <c r="O20" s="35">
        <f t="shared" si="28"/>
        <v>36278215.349999987</v>
      </c>
      <c r="P20" s="35">
        <f t="shared" si="0"/>
        <v>6501056.1907199975</v>
      </c>
      <c r="Q20" s="35">
        <f t="shared" si="1"/>
        <v>5762150.3200000003</v>
      </c>
      <c r="R20" s="35">
        <f t="shared" si="2"/>
        <v>2467468.9099999992</v>
      </c>
      <c r="S20" s="35">
        <f t="shared" si="10"/>
        <v>1438.69</v>
      </c>
      <c r="T20" s="35">
        <f t="shared" si="3"/>
        <v>8231057.9199999999</v>
      </c>
      <c r="U20" s="34">
        <f t="shared" si="4"/>
        <v>0.21832358674463936</v>
      </c>
      <c r="V20" s="232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232"/>
      <c r="AJ20" s="233"/>
      <c r="AL20" s="161">
        <f t="shared" si="17"/>
        <v>2020</v>
      </c>
      <c r="AM20" s="227">
        <v>43983</v>
      </c>
      <c r="AN20" s="476">
        <v>44577226.519999996</v>
      </c>
      <c r="AO20" s="131">
        <f t="shared" si="18"/>
        <v>7988238.9923839988</v>
      </c>
      <c r="AP20" s="131">
        <v>4672549.2050000001</v>
      </c>
      <c r="AQ20" s="131">
        <v>5487487.7024999997</v>
      </c>
      <c r="AR20" s="131">
        <v>214492.61583333334</v>
      </c>
      <c r="AS20" s="131">
        <v>10374529.523333333</v>
      </c>
      <c r="AT20" s="134">
        <f t="shared" si="20"/>
        <v>0.21832358674463936</v>
      </c>
      <c r="AW20" s="138">
        <v>105010966.16729601</v>
      </c>
    </row>
    <row r="21" spans="3:55">
      <c r="C21" s="161">
        <f t="shared" si="7"/>
        <v>2017</v>
      </c>
      <c r="D21" s="35" t="s">
        <v>260</v>
      </c>
      <c r="E21" s="227">
        <v>42856</v>
      </c>
      <c r="F21" s="156">
        <v>198713.43</v>
      </c>
      <c r="G21" s="131">
        <f t="shared" si="8"/>
        <v>35609.446656</v>
      </c>
      <c r="H21" s="156">
        <v>2379.2399999999998</v>
      </c>
      <c r="I21" s="156">
        <v>235</v>
      </c>
      <c r="J21" s="156">
        <v>0</v>
      </c>
      <c r="K21" s="131">
        <f t="shared" si="9"/>
        <v>2614.2399999999998</v>
      </c>
      <c r="L21" s="134">
        <v>0.1792</v>
      </c>
      <c r="N21" s="227">
        <v>42856</v>
      </c>
      <c r="O21" s="35">
        <f t="shared" si="28"/>
        <v>34771012.760000005</v>
      </c>
      <c r="P21" s="35">
        <f t="shared" si="0"/>
        <v>6230965.4865919994</v>
      </c>
      <c r="Q21" s="35">
        <f t="shared" si="1"/>
        <v>2730804.31</v>
      </c>
      <c r="R21" s="35">
        <f t="shared" si="2"/>
        <v>5544980.2999999998</v>
      </c>
      <c r="S21" s="35">
        <f t="shared" si="10"/>
        <v>23376.260000000009</v>
      </c>
      <c r="T21" s="35">
        <f t="shared" si="3"/>
        <v>8299160.8699999992</v>
      </c>
      <c r="U21" s="34">
        <f t="shared" si="4"/>
        <v>0.21832358674463936</v>
      </c>
      <c r="V21" s="232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232"/>
      <c r="AJ21" s="233"/>
      <c r="AL21" s="161">
        <f t="shared" si="17"/>
        <v>2020</v>
      </c>
      <c r="AM21" s="227">
        <v>44013</v>
      </c>
      <c r="AN21" s="476">
        <v>45783947.829999991</v>
      </c>
      <c r="AO21" s="131">
        <f t="shared" si="18"/>
        <v>8204483.4511359986</v>
      </c>
      <c r="AP21" s="131">
        <v>4672549.2050000001</v>
      </c>
      <c r="AQ21" s="131">
        <v>5487487.7024999997</v>
      </c>
      <c r="AR21" s="131">
        <v>214492.61583333334</v>
      </c>
      <c r="AS21" s="131">
        <v>10374529.523333333</v>
      </c>
      <c r="AT21" s="134">
        <f t="shared" si="20"/>
        <v>0.21832358674463936</v>
      </c>
      <c r="AW21" s="138">
        <v>115135312.950784</v>
      </c>
    </row>
    <row r="22" spans="3:55">
      <c r="C22" s="161">
        <f t="shared" si="7"/>
        <v>2017</v>
      </c>
      <c r="D22" s="35" t="s">
        <v>260</v>
      </c>
      <c r="E22" s="227">
        <v>42887</v>
      </c>
      <c r="F22" s="156">
        <v>206634.84</v>
      </c>
      <c r="G22" s="131">
        <f t="shared" si="8"/>
        <v>37028.963327999998</v>
      </c>
      <c r="H22" s="156">
        <v>61570.94</v>
      </c>
      <c r="I22" s="156">
        <v>0</v>
      </c>
      <c r="J22" s="156">
        <v>0</v>
      </c>
      <c r="K22" s="131">
        <f t="shared" si="9"/>
        <v>61570.94</v>
      </c>
      <c r="L22" s="134">
        <v>0.1792</v>
      </c>
      <c r="N22" s="227">
        <v>42887</v>
      </c>
      <c r="O22" s="35">
        <f t="shared" si="28"/>
        <v>35283522.859999999</v>
      </c>
      <c r="P22" s="35">
        <f t="shared" si="0"/>
        <v>6322807.2965119975</v>
      </c>
      <c r="Q22" s="35">
        <f t="shared" si="1"/>
        <v>3700317.2399999993</v>
      </c>
      <c r="R22" s="35">
        <f t="shared" si="2"/>
        <v>2297223.89</v>
      </c>
      <c r="S22" s="35">
        <f t="shared" si="10"/>
        <v>13341.51</v>
      </c>
      <c r="T22" s="35">
        <f t="shared" si="3"/>
        <v>6010882.6399999987</v>
      </c>
      <c r="U22" s="34">
        <f t="shared" si="4"/>
        <v>0.21832358674463914</v>
      </c>
      <c r="V22" s="232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232"/>
      <c r="AJ22" s="233"/>
      <c r="AL22" s="161">
        <f t="shared" si="17"/>
        <v>2020</v>
      </c>
      <c r="AM22" s="227">
        <v>44044</v>
      </c>
      <c r="AN22" s="476">
        <v>49183518.439999998</v>
      </c>
      <c r="AO22" s="131">
        <f t="shared" si="18"/>
        <v>8813686.5044480003</v>
      </c>
      <c r="AP22" s="131">
        <v>4672549.2050000001</v>
      </c>
      <c r="AQ22" s="131">
        <v>5487487.7024999997</v>
      </c>
      <c r="AR22" s="131">
        <v>214492.61583333334</v>
      </c>
      <c r="AS22" s="131">
        <v>10374529.523333333</v>
      </c>
      <c r="AT22" s="134">
        <f t="shared" si="20"/>
        <v>0.21832358674463936</v>
      </c>
      <c r="AW22" s="138">
        <v>119929786.74969605</v>
      </c>
    </row>
    <row r="23" spans="3:55">
      <c r="C23" s="161">
        <f t="shared" si="7"/>
        <v>2017</v>
      </c>
      <c r="D23" s="35" t="s">
        <v>260</v>
      </c>
      <c r="E23" s="227">
        <v>42917</v>
      </c>
      <c r="F23" s="156">
        <v>217055.8</v>
      </c>
      <c r="G23" s="131">
        <f t="shared" si="8"/>
        <v>38896.399359999996</v>
      </c>
      <c r="H23" s="156">
        <v>3623.94</v>
      </c>
      <c r="I23" s="156">
        <v>0</v>
      </c>
      <c r="J23" s="156">
        <v>0</v>
      </c>
      <c r="K23" s="131">
        <f t="shared" si="9"/>
        <v>3623.94</v>
      </c>
      <c r="L23" s="134">
        <v>0.1792</v>
      </c>
      <c r="N23" s="227">
        <v>42917</v>
      </c>
      <c r="O23" s="35">
        <f t="shared" si="28"/>
        <v>36687660.910000004</v>
      </c>
      <c r="P23" s="35">
        <f t="shared" si="0"/>
        <v>6574428.8350719996</v>
      </c>
      <c r="Q23" s="35">
        <f t="shared" si="1"/>
        <v>9047641.410000002</v>
      </c>
      <c r="R23" s="35">
        <f t="shared" si="2"/>
        <v>4130300.87</v>
      </c>
      <c r="S23" s="35">
        <f t="shared" si="10"/>
        <v>557078.86</v>
      </c>
      <c r="T23" s="35">
        <f t="shared" si="3"/>
        <v>13735021.140000001</v>
      </c>
      <c r="U23" s="34">
        <f t="shared" si="4"/>
        <v>0.21832358674463936</v>
      </c>
      <c r="V23" s="232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232"/>
      <c r="AJ23" s="233"/>
      <c r="AL23" s="161">
        <f t="shared" si="17"/>
        <v>2020</v>
      </c>
      <c r="AM23" s="227">
        <v>44075</v>
      </c>
      <c r="AN23" s="476">
        <v>52105393.779999986</v>
      </c>
      <c r="AO23" s="131">
        <f t="shared" si="18"/>
        <v>9337286.5653759968</v>
      </c>
      <c r="AP23" s="131">
        <v>4672549.2050000001</v>
      </c>
      <c r="AQ23" s="131">
        <v>5487487.7024999997</v>
      </c>
      <c r="AR23" s="131">
        <v>214492.61583333334</v>
      </c>
      <c r="AS23" s="131">
        <v>10374529.523333333</v>
      </c>
      <c r="AT23" s="134">
        <f t="shared" si="20"/>
        <v>0.21832358674463936</v>
      </c>
      <c r="AW23" s="138">
        <v>132410151.96953602</v>
      </c>
    </row>
    <row r="24" spans="3:55">
      <c r="C24" s="161">
        <f t="shared" si="7"/>
        <v>2017</v>
      </c>
      <c r="D24" s="35" t="s">
        <v>260</v>
      </c>
      <c r="E24" s="227">
        <v>42948</v>
      </c>
      <c r="F24" s="156">
        <v>232319.08</v>
      </c>
      <c r="G24" s="131">
        <f t="shared" si="8"/>
        <v>41631.579136</v>
      </c>
      <c r="H24" s="156">
        <v>2983.57</v>
      </c>
      <c r="I24" s="156">
        <v>0</v>
      </c>
      <c r="J24" s="156">
        <v>0</v>
      </c>
      <c r="K24" s="131">
        <f t="shared" si="9"/>
        <v>2983.57</v>
      </c>
      <c r="L24" s="134">
        <v>0.1792</v>
      </c>
      <c r="N24" s="227">
        <v>42948</v>
      </c>
      <c r="O24" s="35">
        <f t="shared" si="28"/>
        <v>39601015.270000011</v>
      </c>
      <c r="P24" s="35">
        <f t="shared" si="0"/>
        <v>7096501.936383998</v>
      </c>
      <c r="Q24" s="35">
        <f t="shared" si="1"/>
        <v>4948098.2300000004</v>
      </c>
      <c r="R24" s="35">
        <f t="shared" si="2"/>
        <v>4325997.2100000009</v>
      </c>
      <c r="S24" s="35">
        <f t="shared" si="10"/>
        <v>15470.109999999999</v>
      </c>
      <c r="T24" s="35">
        <f t="shared" si="3"/>
        <v>9289565.5500000007</v>
      </c>
      <c r="U24" s="34">
        <f t="shared" si="4"/>
        <v>0.21832358674463936</v>
      </c>
      <c r="V24" s="232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232"/>
      <c r="AJ24" s="233"/>
      <c r="AL24" s="161">
        <f t="shared" si="17"/>
        <v>2020</v>
      </c>
      <c r="AM24" s="227">
        <v>44105</v>
      </c>
      <c r="AN24" s="476">
        <v>55345241.540000007</v>
      </c>
      <c r="AO24" s="131">
        <f t="shared" si="18"/>
        <v>9917867.2839680016</v>
      </c>
      <c r="AP24" s="131">
        <v>4672549.2050000001</v>
      </c>
      <c r="AQ24" s="131">
        <v>5487487.7024999997</v>
      </c>
      <c r="AR24" s="131">
        <v>214492.61583333334</v>
      </c>
      <c r="AS24" s="131">
        <v>10374529.523333333</v>
      </c>
      <c r="AT24" s="134">
        <f t="shared" si="20"/>
        <v>0.21832358674463936</v>
      </c>
      <c r="AW24" s="138">
        <v>143002964.12709889</v>
      </c>
    </row>
    <row r="25" spans="3:55">
      <c r="C25" s="161">
        <f t="shared" si="7"/>
        <v>2017</v>
      </c>
      <c r="D25" s="35" t="s">
        <v>260</v>
      </c>
      <c r="E25" s="227">
        <v>42979</v>
      </c>
      <c r="F25" s="156">
        <v>252327.62</v>
      </c>
      <c r="G25" s="131">
        <f t="shared" si="8"/>
        <v>45217.109504</v>
      </c>
      <c r="H25" s="156">
        <v>2367.12</v>
      </c>
      <c r="I25" s="156">
        <v>0</v>
      </c>
      <c r="J25" s="156">
        <v>0</v>
      </c>
      <c r="K25" s="131">
        <f t="shared" si="9"/>
        <v>2367.12</v>
      </c>
      <c r="L25" s="134">
        <v>0.1792</v>
      </c>
      <c r="N25" s="227">
        <v>42979</v>
      </c>
      <c r="O25" s="35">
        <f t="shared" si="28"/>
        <v>42223389.070000008</v>
      </c>
      <c r="P25" s="35">
        <f t="shared" si="0"/>
        <v>7566431.3213439984</v>
      </c>
      <c r="Q25" s="35">
        <f t="shared" si="1"/>
        <v>3344349.3299999996</v>
      </c>
      <c r="R25" s="35">
        <f t="shared" si="2"/>
        <v>1137173.7800000003</v>
      </c>
      <c r="S25" s="35">
        <f t="shared" si="10"/>
        <v>427137.79000000004</v>
      </c>
      <c r="T25" s="35">
        <f t="shared" si="3"/>
        <v>4908660.8999999994</v>
      </c>
      <c r="U25" s="34">
        <f t="shared" si="4"/>
        <v>0.21832358674463914</v>
      </c>
      <c r="V25" s="232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232"/>
      <c r="AJ25" s="233"/>
      <c r="AL25" s="161">
        <f t="shared" si="17"/>
        <v>2020</v>
      </c>
      <c r="AM25" s="227">
        <v>44136</v>
      </c>
      <c r="AN25" s="476">
        <v>50411898.099999994</v>
      </c>
      <c r="AO25" s="131">
        <f t="shared" si="18"/>
        <v>9033812.1395199988</v>
      </c>
      <c r="AP25" s="131">
        <v>4672549.2050000001</v>
      </c>
      <c r="AQ25" s="131">
        <v>5487487.7024999997</v>
      </c>
      <c r="AR25" s="131">
        <v>214492.61583333334</v>
      </c>
      <c r="AS25" s="131">
        <v>10374529.523333333</v>
      </c>
      <c r="AT25" s="134">
        <f t="shared" si="20"/>
        <v>0.21832358674463936</v>
      </c>
      <c r="AW25" s="138">
        <v>150153112.33345383</v>
      </c>
    </row>
    <row r="26" spans="3:55">
      <c r="C26" s="161">
        <f t="shared" si="7"/>
        <v>2017</v>
      </c>
      <c r="D26" s="35" t="s">
        <v>260</v>
      </c>
      <c r="E26" s="227">
        <v>43009</v>
      </c>
      <c r="F26" s="156">
        <v>247981.56</v>
      </c>
      <c r="G26" s="131">
        <f t="shared" si="8"/>
        <v>44438.295551999996</v>
      </c>
      <c r="H26" s="156">
        <v>1689.35</v>
      </c>
      <c r="I26" s="156">
        <v>0</v>
      </c>
      <c r="J26" s="156">
        <v>0</v>
      </c>
      <c r="K26" s="131">
        <f t="shared" si="9"/>
        <v>1689.35</v>
      </c>
      <c r="L26" s="134">
        <v>0.1792</v>
      </c>
      <c r="N26" s="227">
        <v>43009</v>
      </c>
      <c r="O26" s="35">
        <f t="shared" si="28"/>
        <v>40449752.219999984</v>
      </c>
      <c r="P26" s="35">
        <f t="shared" si="0"/>
        <v>7248595.5978239989</v>
      </c>
      <c r="Q26" s="35">
        <f t="shared" si="1"/>
        <v>3795916.88</v>
      </c>
      <c r="R26" s="35">
        <f t="shared" si="2"/>
        <v>2661706.6300000004</v>
      </c>
      <c r="S26" s="35">
        <f t="shared" si="10"/>
        <v>32030.65</v>
      </c>
      <c r="T26" s="35">
        <f t="shared" si="3"/>
        <v>6489654.1600000001</v>
      </c>
      <c r="U26" s="34">
        <f t="shared" si="4"/>
        <v>0.21832358674463959</v>
      </c>
      <c r="V26" s="232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232"/>
      <c r="AJ26" s="233"/>
      <c r="AL26" s="161">
        <f t="shared" si="17"/>
        <v>2020</v>
      </c>
      <c r="AM26" s="227">
        <v>44166</v>
      </c>
      <c r="AN26" s="476">
        <v>52136754.460000031</v>
      </c>
      <c r="AO26" s="131">
        <f t="shared" si="18"/>
        <v>9342906.3992320057</v>
      </c>
      <c r="AP26" s="131">
        <v>4672549.2050000001</v>
      </c>
      <c r="AQ26" s="131">
        <v>5487487.7024999997</v>
      </c>
      <c r="AR26" s="131">
        <v>214492.61583333334</v>
      </c>
      <c r="AS26" s="131">
        <v>10374529.523333333</v>
      </c>
      <c r="AT26" s="134">
        <f t="shared" si="20"/>
        <v>0.21832358674463936</v>
      </c>
    </row>
    <row r="27" spans="3:55">
      <c r="C27" s="161">
        <f t="shared" si="7"/>
        <v>2017</v>
      </c>
      <c r="D27" s="35" t="s">
        <v>260</v>
      </c>
      <c r="E27" s="227">
        <v>43040</v>
      </c>
      <c r="F27" s="156">
        <v>255539.05</v>
      </c>
      <c r="G27" s="131">
        <f t="shared" si="8"/>
        <v>45792.597759999997</v>
      </c>
      <c r="H27" s="156">
        <v>181372.72</v>
      </c>
      <c r="I27" s="156">
        <v>0</v>
      </c>
      <c r="J27" s="156">
        <v>0</v>
      </c>
      <c r="K27" s="131">
        <f t="shared" si="9"/>
        <v>181372.72</v>
      </c>
      <c r="L27" s="134">
        <v>0.1792</v>
      </c>
      <c r="N27" s="227">
        <v>43040</v>
      </c>
      <c r="O27" s="35">
        <f t="shared" si="28"/>
        <v>40284179.589999996</v>
      </c>
      <c r="P27" s="35">
        <f t="shared" si="0"/>
        <v>7218924.982528002</v>
      </c>
      <c r="Q27" s="35">
        <f t="shared" si="1"/>
        <v>6062278.8900000015</v>
      </c>
      <c r="R27" s="35">
        <f t="shared" si="2"/>
        <v>2451647.8600000003</v>
      </c>
      <c r="S27" s="35">
        <f t="shared" si="10"/>
        <v>2100036.5</v>
      </c>
      <c r="T27" s="35">
        <f t="shared" si="3"/>
        <v>10613963.250000002</v>
      </c>
      <c r="U27" s="34">
        <f t="shared" si="4"/>
        <v>0.21832358674463936</v>
      </c>
      <c r="V27" s="232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232"/>
      <c r="AJ27" s="233"/>
      <c r="AL27" s="161">
        <f t="shared" si="17"/>
        <v>2021</v>
      </c>
      <c r="AM27" s="227">
        <v>44197</v>
      </c>
      <c r="AN27" s="477">
        <v>52510750.029999979</v>
      </c>
      <c r="AO27" s="131">
        <f t="shared" si="18"/>
        <v>9409926.4053759966</v>
      </c>
      <c r="AP27" s="131">
        <v>3394528.7116666664</v>
      </c>
      <c r="AQ27" s="131">
        <v>6006021.1966666654</v>
      </c>
      <c r="AR27" s="131">
        <v>417671.77833333332</v>
      </c>
      <c r="AS27" s="131">
        <f t="shared" si="19"/>
        <v>9818221.6866666637</v>
      </c>
      <c r="AT27" s="134">
        <f t="shared" si="20"/>
        <v>0.21832358674463936</v>
      </c>
    </row>
    <row r="28" spans="3:55">
      <c r="C28" s="161">
        <f t="shared" si="7"/>
        <v>2017</v>
      </c>
      <c r="D28" s="35" t="s">
        <v>260</v>
      </c>
      <c r="E28" s="227">
        <v>43070</v>
      </c>
      <c r="F28" s="156">
        <v>252504.62</v>
      </c>
      <c r="G28" s="131">
        <f t="shared" si="8"/>
        <v>45248.827903999998</v>
      </c>
      <c r="H28" s="156">
        <v>23040.73</v>
      </c>
      <c r="I28" s="156">
        <v>0</v>
      </c>
      <c r="J28" s="156">
        <v>0</v>
      </c>
      <c r="K28" s="131">
        <f t="shared" si="9"/>
        <v>23040.73</v>
      </c>
      <c r="L28" s="134">
        <v>0.1792</v>
      </c>
      <c r="N28" s="227">
        <v>43070</v>
      </c>
      <c r="O28" s="35">
        <f t="shared" si="28"/>
        <v>40326513.809999995</v>
      </c>
      <c r="P28" s="35">
        <f t="shared" si="0"/>
        <v>7226511.2747520003</v>
      </c>
      <c r="Q28" s="35">
        <f t="shared" si="1"/>
        <v>7576950.0100000016</v>
      </c>
      <c r="R28" s="35">
        <f t="shared" si="2"/>
        <v>2298457.7199999997</v>
      </c>
      <c r="S28" s="35">
        <f t="shared" si="10"/>
        <v>217945.43</v>
      </c>
      <c r="T28" s="35">
        <f t="shared" si="3"/>
        <v>10093353.16</v>
      </c>
      <c r="U28" s="34">
        <f t="shared" si="4"/>
        <v>0.21832358674463936</v>
      </c>
      <c r="V28" s="232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232"/>
      <c r="AJ28" s="233"/>
      <c r="AL28" s="161">
        <f t="shared" si="17"/>
        <v>2021</v>
      </c>
      <c r="AM28" s="227">
        <v>44228</v>
      </c>
      <c r="AN28" s="477">
        <v>49416551.68</v>
      </c>
      <c r="AO28" s="131">
        <f t="shared" si="18"/>
        <v>8855446.0610559992</v>
      </c>
      <c r="AP28" s="131">
        <v>3394528.7116666664</v>
      </c>
      <c r="AQ28" s="131">
        <v>6006021.1966666654</v>
      </c>
      <c r="AR28" s="131">
        <v>417671.77833333332</v>
      </c>
      <c r="AS28" s="131">
        <f t="shared" si="19"/>
        <v>9818221.6866666637</v>
      </c>
      <c r="AT28" s="134">
        <f t="shared" si="20"/>
        <v>0.21832358674463914</v>
      </c>
    </row>
    <row r="29" spans="3:55">
      <c r="C29" s="161">
        <f t="shared" si="7"/>
        <v>2018</v>
      </c>
      <c r="D29" s="35" t="s">
        <v>260</v>
      </c>
      <c r="E29" s="227">
        <v>43101</v>
      </c>
      <c r="F29" s="156">
        <v>239078.67</v>
      </c>
      <c r="G29" s="131">
        <f t="shared" si="8"/>
        <v>42842.897664000004</v>
      </c>
      <c r="H29" s="156">
        <v>138461.13</v>
      </c>
      <c r="I29" s="156">
        <v>0</v>
      </c>
      <c r="J29" s="156">
        <v>0</v>
      </c>
      <c r="K29" s="131">
        <f t="shared" si="9"/>
        <v>138461.13</v>
      </c>
      <c r="L29" s="134">
        <v>0.1792</v>
      </c>
      <c r="N29" s="227">
        <v>43101</v>
      </c>
      <c r="O29" s="35">
        <f t="shared" si="28"/>
        <v>39106697.790000014</v>
      </c>
      <c r="P29" s="35">
        <f t="shared" si="0"/>
        <v>7007920.2439679988</v>
      </c>
      <c r="Q29" s="35">
        <f t="shared" si="1"/>
        <v>4120713.1100000013</v>
      </c>
      <c r="R29" s="35">
        <f t="shared" si="2"/>
        <v>3891982.2699999996</v>
      </c>
      <c r="S29" s="35">
        <f t="shared" si="10"/>
        <v>42301.83</v>
      </c>
      <c r="T29" s="35">
        <f t="shared" si="3"/>
        <v>8054997.2100000009</v>
      </c>
      <c r="U29" s="34">
        <f t="shared" si="4"/>
        <v>0.21832358674463914</v>
      </c>
      <c r="V29" s="232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232"/>
      <c r="AJ29" s="233"/>
      <c r="AL29" s="161">
        <f t="shared" si="17"/>
        <v>2021</v>
      </c>
      <c r="AM29" s="227">
        <v>44256</v>
      </c>
      <c r="AN29" s="477">
        <v>48030739.890000008</v>
      </c>
      <c r="AO29" s="131">
        <f t="shared" si="18"/>
        <v>8607108.5882880017</v>
      </c>
      <c r="AP29" s="131">
        <v>3394528.7116666664</v>
      </c>
      <c r="AQ29" s="131">
        <v>6006021.1966666654</v>
      </c>
      <c r="AR29" s="131">
        <v>417671.77833333332</v>
      </c>
      <c r="AS29" s="131">
        <f t="shared" si="19"/>
        <v>9818221.6866666637</v>
      </c>
      <c r="AT29" s="134">
        <f t="shared" si="20"/>
        <v>0.21832358674463936</v>
      </c>
      <c r="AW29" s="138">
        <v>100487280.932864</v>
      </c>
      <c r="AX29" s="138">
        <v>105010966.16729601</v>
      </c>
      <c r="AY29" s="138">
        <v>115135312.950784</v>
      </c>
      <c r="AZ29" s="138">
        <v>119929786.74969605</v>
      </c>
      <c r="BA29" s="138">
        <v>132410151.96953602</v>
      </c>
      <c r="BB29" s="138">
        <v>143002964.12709889</v>
      </c>
      <c r="BC29" s="138">
        <v>150153112.33345383</v>
      </c>
    </row>
    <row r="30" spans="3:55">
      <c r="C30" s="161">
        <f t="shared" si="7"/>
        <v>2018</v>
      </c>
      <c r="D30" s="35" t="s">
        <v>260</v>
      </c>
      <c r="E30" s="227">
        <v>43132</v>
      </c>
      <c r="F30" s="156">
        <v>251220.19</v>
      </c>
      <c r="G30" s="131">
        <f t="shared" si="8"/>
        <v>45018.658047999998</v>
      </c>
      <c r="H30" s="156">
        <v>5662.62</v>
      </c>
      <c r="I30" s="156">
        <v>0</v>
      </c>
      <c r="J30" s="156">
        <v>0</v>
      </c>
      <c r="K30" s="131">
        <f t="shared" si="9"/>
        <v>5662.62</v>
      </c>
      <c r="L30" s="134">
        <v>0.1792</v>
      </c>
      <c r="N30" s="227">
        <v>43132</v>
      </c>
      <c r="O30" s="35">
        <f t="shared" si="28"/>
        <v>40993595.159999989</v>
      </c>
      <c r="P30" s="35">
        <f t="shared" si="0"/>
        <v>7346052.2526720017</v>
      </c>
      <c r="Q30" s="35">
        <f t="shared" si="1"/>
        <v>6673759.4200000009</v>
      </c>
      <c r="R30" s="35">
        <f t="shared" si="2"/>
        <v>2478646.54</v>
      </c>
      <c r="S30" s="35">
        <f t="shared" si="10"/>
        <v>18823.880000000005</v>
      </c>
      <c r="T30" s="35">
        <f t="shared" si="3"/>
        <v>9171229.8400000017</v>
      </c>
      <c r="U30" s="34">
        <f t="shared" si="4"/>
        <v>0.21832358674463959</v>
      </c>
      <c r="V30" s="232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232"/>
      <c r="AJ30" s="233"/>
      <c r="AL30" s="161">
        <f t="shared" si="17"/>
        <v>2021</v>
      </c>
      <c r="AM30" s="227">
        <v>44287</v>
      </c>
      <c r="AN30" s="477">
        <v>53375977.19000002</v>
      </c>
      <c r="AO30" s="131">
        <f t="shared" si="18"/>
        <v>9564975.1124480031</v>
      </c>
      <c r="AP30" s="131">
        <v>3394528.7116666664</v>
      </c>
      <c r="AQ30" s="131">
        <v>6006021.1966666654</v>
      </c>
      <c r="AR30" s="131">
        <v>417671.77833333332</v>
      </c>
      <c r="AS30" s="131">
        <f t="shared" si="19"/>
        <v>9818221.6866666637</v>
      </c>
      <c r="AT30" s="134">
        <f t="shared" si="20"/>
        <v>0.21832358674463936</v>
      </c>
    </row>
    <row r="31" spans="3:55">
      <c r="C31" s="161">
        <f t="shared" si="7"/>
        <v>2018</v>
      </c>
      <c r="D31" s="35" t="s">
        <v>260</v>
      </c>
      <c r="E31" s="227">
        <v>43160</v>
      </c>
      <c r="F31" s="156">
        <v>230660.36</v>
      </c>
      <c r="G31" s="131">
        <f t="shared" si="8"/>
        <v>41334.336511999994</v>
      </c>
      <c r="H31" s="156">
        <v>36849.03</v>
      </c>
      <c r="I31" s="156">
        <v>0</v>
      </c>
      <c r="J31" s="156">
        <v>0</v>
      </c>
      <c r="K31" s="131">
        <f t="shared" si="9"/>
        <v>36849.03</v>
      </c>
      <c r="L31" s="134">
        <v>0.1792</v>
      </c>
      <c r="N31" s="227">
        <v>43160</v>
      </c>
      <c r="O31" s="35">
        <f t="shared" si="28"/>
        <v>37038070.68</v>
      </c>
      <c r="P31" s="35">
        <f t="shared" si="0"/>
        <v>6637222.2658560006</v>
      </c>
      <c r="Q31" s="35">
        <f t="shared" si="1"/>
        <v>5810828.2599999988</v>
      </c>
      <c r="R31" s="35">
        <f t="shared" si="2"/>
        <v>3649991.25</v>
      </c>
      <c r="S31" s="35">
        <f t="shared" si="10"/>
        <v>34772.960000000006</v>
      </c>
      <c r="T31" s="35">
        <f t="shared" si="3"/>
        <v>9495592.4699999988</v>
      </c>
      <c r="U31" s="34">
        <f t="shared" si="4"/>
        <v>0.21832358674463936</v>
      </c>
      <c r="V31" s="232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232"/>
      <c r="AJ31" s="233"/>
      <c r="AL31" s="161">
        <f t="shared" si="17"/>
        <v>2021</v>
      </c>
      <c r="AM31" s="227">
        <v>44317</v>
      </c>
      <c r="AN31" s="477">
        <v>49651985.089999996</v>
      </c>
      <c r="AO31" s="131">
        <f t="shared" si="18"/>
        <v>8897635.7281279992</v>
      </c>
      <c r="AP31" s="131">
        <v>3394528.7116666664</v>
      </c>
      <c r="AQ31" s="131">
        <v>6006021.1966666654</v>
      </c>
      <c r="AR31" s="131">
        <v>417671.77833333332</v>
      </c>
      <c r="AS31" s="131">
        <f t="shared" si="19"/>
        <v>9818221.6866666637</v>
      </c>
      <c r="AT31" s="134">
        <f t="shared" si="20"/>
        <v>0.21832358674463936</v>
      </c>
    </row>
    <row r="32" spans="3:55">
      <c r="C32" s="161">
        <f t="shared" si="7"/>
        <v>2018</v>
      </c>
      <c r="D32" s="35" t="s">
        <v>260</v>
      </c>
      <c r="E32" s="227">
        <v>43191</v>
      </c>
      <c r="F32" s="156">
        <v>259769.14</v>
      </c>
      <c r="G32" s="131">
        <f t="shared" si="8"/>
        <v>46550.629888000003</v>
      </c>
      <c r="H32" s="156">
        <v>0</v>
      </c>
      <c r="I32" s="156">
        <v>0</v>
      </c>
      <c r="J32" s="156">
        <v>0</v>
      </c>
      <c r="K32" s="131">
        <f t="shared" si="9"/>
        <v>0</v>
      </c>
      <c r="L32" s="134">
        <v>0.1792</v>
      </c>
      <c r="N32" s="227">
        <v>43191</v>
      </c>
      <c r="O32" s="35">
        <f t="shared" si="28"/>
        <v>40546443.920000002</v>
      </c>
      <c r="P32" s="35">
        <f t="shared" si="0"/>
        <v>7265922.7504639998</v>
      </c>
      <c r="Q32" s="35">
        <f t="shared" si="1"/>
        <v>4779214.26</v>
      </c>
      <c r="R32" s="35">
        <f t="shared" si="2"/>
        <v>1388915.7599999998</v>
      </c>
      <c r="S32" s="35">
        <f t="shared" si="10"/>
        <v>209697.9</v>
      </c>
      <c r="T32" s="35">
        <f t="shared" si="3"/>
        <v>6377827.9199999999</v>
      </c>
      <c r="U32" s="34">
        <f t="shared" si="4"/>
        <v>0.21832358674463936</v>
      </c>
      <c r="V32" s="232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232"/>
      <c r="AJ32" s="233"/>
      <c r="AL32" s="161">
        <f t="shared" si="17"/>
        <v>2021</v>
      </c>
      <c r="AM32" s="227">
        <v>44348</v>
      </c>
      <c r="AN32" s="477">
        <v>48851028.880000003</v>
      </c>
      <c r="AO32" s="131">
        <f t="shared" si="18"/>
        <v>8754104.3752960004</v>
      </c>
      <c r="AP32" s="131">
        <v>3394528.7116666664</v>
      </c>
      <c r="AQ32" s="131">
        <v>6006021.1966666654</v>
      </c>
      <c r="AR32" s="131">
        <v>417671.77833333332</v>
      </c>
      <c r="AS32" s="131">
        <f t="shared" si="19"/>
        <v>9818221.6866666637</v>
      </c>
      <c r="AT32" s="134">
        <f t="shared" si="20"/>
        <v>0.21832358674463959</v>
      </c>
    </row>
    <row r="33" spans="3:46">
      <c r="C33" s="161">
        <f t="shared" si="7"/>
        <v>2018</v>
      </c>
      <c r="D33" s="35" t="s">
        <v>260</v>
      </c>
      <c r="E33" s="227">
        <v>43221</v>
      </c>
      <c r="F33" s="156">
        <v>245547.59</v>
      </c>
      <c r="G33" s="131">
        <f t="shared" si="8"/>
        <v>44002.128127999997</v>
      </c>
      <c r="H33" s="156">
        <v>3423.89</v>
      </c>
      <c r="I33" s="156">
        <v>0</v>
      </c>
      <c r="J33" s="156">
        <v>0</v>
      </c>
      <c r="K33" s="131">
        <f t="shared" si="9"/>
        <v>3423.89</v>
      </c>
      <c r="L33" s="134">
        <v>0.1792</v>
      </c>
      <c r="N33" s="227">
        <v>43221</v>
      </c>
      <c r="O33" s="35">
        <f t="shared" si="28"/>
        <v>40652599.600000016</v>
      </c>
      <c r="P33" s="35">
        <f t="shared" si="0"/>
        <v>7284945.8483199999</v>
      </c>
      <c r="Q33" s="35">
        <f t="shared" si="1"/>
        <v>6211107.0600000024</v>
      </c>
      <c r="R33" s="35">
        <f t="shared" si="2"/>
        <v>3096343.76</v>
      </c>
      <c r="S33" s="35">
        <f t="shared" si="10"/>
        <v>301709.24000000005</v>
      </c>
      <c r="T33" s="35">
        <f t="shared" si="3"/>
        <v>9609160.0600000024</v>
      </c>
      <c r="U33" s="34">
        <f t="shared" si="4"/>
        <v>0.21832358674463936</v>
      </c>
      <c r="V33" s="232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232"/>
      <c r="AJ33" s="233"/>
      <c r="AL33" s="161">
        <f t="shared" si="17"/>
        <v>2021</v>
      </c>
      <c r="AM33" s="227">
        <v>44378</v>
      </c>
      <c r="AN33" s="477">
        <v>50847991.949999996</v>
      </c>
      <c r="AO33" s="131">
        <f t="shared" si="18"/>
        <v>9111960.1574399993</v>
      </c>
      <c r="AP33" s="131">
        <v>3394528.7116666664</v>
      </c>
      <c r="AQ33" s="131">
        <v>6006021.1966666654</v>
      </c>
      <c r="AR33" s="131">
        <v>417671.77833333332</v>
      </c>
      <c r="AS33" s="131">
        <f t="shared" si="19"/>
        <v>9818221.6866666637</v>
      </c>
      <c r="AT33" s="134">
        <f t="shared" si="20"/>
        <v>0.21832358674463936</v>
      </c>
    </row>
    <row r="34" spans="3:46">
      <c r="C34" s="161">
        <f t="shared" si="7"/>
        <v>2018</v>
      </c>
      <c r="D34" s="35" t="s">
        <v>260</v>
      </c>
      <c r="E34" s="227">
        <v>43252</v>
      </c>
      <c r="F34" s="156">
        <v>224607.49</v>
      </c>
      <c r="G34" s="131">
        <f t="shared" si="8"/>
        <v>40249.662208000002</v>
      </c>
      <c r="H34" s="156">
        <v>11524.02</v>
      </c>
      <c r="I34" s="156">
        <v>0</v>
      </c>
      <c r="J34" s="156">
        <v>0</v>
      </c>
      <c r="K34" s="131">
        <f t="shared" si="9"/>
        <v>11524.02</v>
      </c>
      <c r="L34" s="134">
        <v>0.1792</v>
      </c>
      <c r="N34" s="227">
        <v>43252</v>
      </c>
      <c r="O34" s="35">
        <f t="shared" si="28"/>
        <v>38229701.440000005</v>
      </c>
      <c r="P34" s="35">
        <f t="shared" si="0"/>
        <v>6850762.4980479991</v>
      </c>
      <c r="Q34" s="35">
        <f t="shared" si="1"/>
        <v>3891096.0399999991</v>
      </c>
      <c r="R34" s="35">
        <f t="shared" si="2"/>
        <v>3215155.45</v>
      </c>
      <c r="S34" s="35">
        <f t="shared" si="10"/>
        <v>21166.15</v>
      </c>
      <c r="T34" s="35">
        <f t="shared" si="3"/>
        <v>7127417.6399999997</v>
      </c>
      <c r="U34" s="34">
        <f t="shared" si="4"/>
        <v>0.21832358674463936</v>
      </c>
      <c r="V34" s="232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232"/>
      <c r="AJ34" s="233"/>
      <c r="AL34" s="161">
        <f t="shared" si="17"/>
        <v>2021</v>
      </c>
      <c r="AM34" s="227">
        <v>44409</v>
      </c>
      <c r="AN34" s="477">
        <v>55367609.409999982</v>
      </c>
      <c r="AO34" s="131">
        <f t="shared" si="18"/>
        <v>9921875.6062719971</v>
      </c>
      <c r="AP34" s="131">
        <v>3394528.7116666664</v>
      </c>
      <c r="AQ34" s="131">
        <v>6006021.1966666654</v>
      </c>
      <c r="AR34" s="131">
        <v>417671.77833333332</v>
      </c>
      <c r="AS34" s="131">
        <f t="shared" si="19"/>
        <v>9818221.6866666637</v>
      </c>
      <c r="AT34" s="134">
        <f t="shared" si="20"/>
        <v>0.21832358674463936</v>
      </c>
    </row>
    <row r="35" spans="3:46">
      <c r="C35" s="161">
        <f t="shared" si="7"/>
        <v>2018</v>
      </c>
      <c r="D35" s="35" t="s">
        <v>260</v>
      </c>
      <c r="E35" s="227">
        <v>43282</v>
      </c>
      <c r="F35" s="156">
        <v>226604.88</v>
      </c>
      <c r="G35" s="131">
        <f t="shared" si="8"/>
        <v>40607.594495999998</v>
      </c>
      <c r="H35" s="156">
        <v>14197.28</v>
      </c>
      <c r="I35" s="156">
        <v>0</v>
      </c>
      <c r="J35" s="156">
        <v>0</v>
      </c>
      <c r="K35" s="131">
        <f t="shared" si="9"/>
        <v>14197.28</v>
      </c>
      <c r="L35" s="134">
        <v>0.1792</v>
      </c>
      <c r="N35" s="227">
        <v>43282</v>
      </c>
      <c r="O35" s="35">
        <f t="shared" ref="O35:O70" si="33">SUMIFS(F$3:F$4626,$E$3:$E$4626,$N35)</f>
        <v>39376510.940000013</v>
      </c>
      <c r="P35" s="35">
        <f t="shared" ref="P35:P70" si="34">SUMIFS(G$3:G$4626,$E$3:$E$4626,$N35)</f>
        <v>7056270.7604480013</v>
      </c>
      <c r="Q35" s="35">
        <f t="shared" ref="Q35:Q70" si="35">SUMIFS(H$3:H$4626,$E$3:$E$4626,$N35)</f>
        <v>6736820.790000001</v>
      </c>
      <c r="R35" s="35">
        <f t="shared" ref="R35:R70" si="36">SUMIFS(I$3:I$4626,$E$3:$E$4626,$N35)</f>
        <v>2336851.0900000003</v>
      </c>
      <c r="S35" s="35">
        <f t="shared" ref="S35:S70" si="37">SUMIFS(J$3:J$4626,$E$3:$E$4626,$N35)</f>
        <v>119300.16000000002</v>
      </c>
      <c r="T35" s="35">
        <f t="shared" ref="T35:T66" si="38">SUM(Q35:S35)</f>
        <v>9192972.040000001</v>
      </c>
      <c r="U35" s="34">
        <f t="shared" ref="U35:U70" si="39">(O35)/(O35-P35)-1</f>
        <v>0.21832358674463936</v>
      </c>
      <c r="V35" s="232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232"/>
      <c r="AJ35" s="233"/>
      <c r="AL35" s="161">
        <f t="shared" si="17"/>
        <v>2021</v>
      </c>
      <c r="AM35" s="227">
        <v>44440</v>
      </c>
      <c r="AN35" s="477">
        <v>59434170.799999997</v>
      </c>
      <c r="AO35" s="131">
        <f t="shared" si="18"/>
        <v>10650603.407359999</v>
      </c>
      <c r="AP35" s="131">
        <v>3394528.7116666664</v>
      </c>
      <c r="AQ35" s="131">
        <v>6006021.1966666654</v>
      </c>
      <c r="AR35" s="131">
        <v>417671.77833333332</v>
      </c>
      <c r="AS35" s="131">
        <f t="shared" si="19"/>
        <v>9818221.6866666637</v>
      </c>
      <c r="AT35" s="134">
        <f t="shared" ref="AT35:AT65" si="40">(AN35)/(AN35-AO35)-1</f>
        <v>0.21832358674463936</v>
      </c>
    </row>
    <row r="36" spans="3:46">
      <c r="C36" s="161">
        <f t="shared" si="7"/>
        <v>2018</v>
      </c>
      <c r="D36" s="35" t="s">
        <v>260</v>
      </c>
      <c r="E36" s="227">
        <v>43313</v>
      </c>
      <c r="F36" s="156">
        <v>230100.29</v>
      </c>
      <c r="G36" s="131">
        <f t="shared" si="8"/>
        <v>41233.971967999998</v>
      </c>
      <c r="H36" s="156">
        <v>1761.07</v>
      </c>
      <c r="I36" s="156">
        <v>0</v>
      </c>
      <c r="J36" s="156">
        <v>0</v>
      </c>
      <c r="K36" s="131">
        <f t="shared" si="9"/>
        <v>1761.07</v>
      </c>
      <c r="L36" s="134">
        <v>0.1792</v>
      </c>
      <c r="N36" s="227">
        <v>43313</v>
      </c>
      <c r="O36" s="35">
        <f t="shared" si="33"/>
        <v>39400565.530000001</v>
      </c>
      <c r="P36" s="35">
        <f t="shared" si="34"/>
        <v>7060581.3429759992</v>
      </c>
      <c r="Q36" s="35">
        <f t="shared" si="35"/>
        <v>7575595.410000002</v>
      </c>
      <c r="R36" s="35">
        <f t="shared" si="36"/>
        <v>3501736.09</v>
      </c>
      <c r="S36" s="35">
        <f t="shared" si="37"/>
        <v>25199.53</v>
      </c>
      <c r="T36" s="35">
        <f t="shared" si="38"/>
        <v>11102531.030000001</v>
      </c>
      <c r="U36" s="34">
        <f t="shared" si="39"/>
        <v>0.21832358674463936</v>
      </c>
      <c r="V36" s="232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232"/>
      <c r="AJ36" s="233"/>
      <c r="AL36" s="161">
        <f t="shared" si="17"/>
        <v>2021</v>
      </c>
      <c r="AM36" s="227">
        <v>44470</v>
      </c>
      <c r="AN36" s="477">
        <v>57170918.070000008</v>
      </c>
      <c r="AO36" s="131">
        <f t="shared" si="18"/>
        <v>10245028.518144002</v>
      </c>
      <c r="AP36" s="131">
        <v>3394528.7116666664</v>
      </c>
      <c r="AQ36" s="131">
        <v>6006021.1966666654</v>
      </c>
      <c r="AR36" s="131">
        <v>417671.77833333332</v>
      </c>
      <c r="AS36" s="131">
        <f t="shared" si="19"/>
        <v>9818221.6866666637</v>
      </c>
      <c r="AT36" s="134">
        <f t="shared" si="40"/>
        <v>0.21832358674463936</v>
      </c>
    </row>
    <row r="37" spans="3:46">
      <c r="C37" s="161">
        <f t="shared" si="7"/>
        <v>2018</v>
      </c>
      <c r="D37" s="35" t="s">
        <v>260</v>
      </c>
      <c r="E37" s="227">
        <v>43344</v>
      </c>
      <c r="F37" s="156">
        <v>245254.44</v>
      </c>
      <c r="G37" s="131">
        <f t="shared" si="8"/>
        <v>43949.595648000002</v>
      </c>
      <c r="H37" s="156">
        <v>14446.84</v>
      </c>
      <c r="I37" s="156">
        <v>0</v>
      </c>
      <c r="J37" s="156">
        <v>0</v>
      </c>
      <c r="K37" s="131">
        <f t="shared" si="9"/>
        <v>14446.84</v>
      </c>
      <c r="L37" s="134">
        <v>0.1792</v>
      </c>
      <c r="N37" s="227">
        <v>43344</v>
      </c>
      <c r="O37" s="35">
        <f t="shared" si="33"/>
        <v>40785898.680000015</v>
      </c>
      <c r="P37" s="35">
        <f t="shared" si="34"/>
        <v>7308833.0434559993</v>
      </c>
      <c r="Q37" s="35">
        <f t="shared" si="35"/>
        <v>5721226.1100000013</v>
      </c>
      <c r="R37" s="35">
        <f t="shared" si="36"/>
        <v>4921424.2000000011</v>
      </c>
      <c r="S37" s="35">
        <f t="shared" si="37"/>
        <v>119909.15</v>
      </c>
      <c r="T37" s="35">
        <f t="shared" si="38"/>
        <v>10762559.460000003</v>
      </c>
      <c r="U37" s="34">
        <f t="shared" si="39"/>
        <v>0.21832358674463936</v>
      </c>
      <c r="V37" s="232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232"/>
      <c r="AJ37" s="233"/>
      <c r="AL37" s="161">
        <f t="shared" si="17"/>
        <v>2021</v>
      </c>
      <c r="AM37" s="227">
        <v>44501</v>
      </c>
      <c r="AN37" s="477">
        <v>58195736.040000007</v>
      </c>
      <c r="AO37" s="131">
        <f t="shared" si="18"/>
        <v>10428675.898368001</v>
      </c>
      <c r="AP37" s="131">
        <v>3394528.7116666664</v>
      </c>
      <c r="AQ37" s="131">
        <v>6006021.1966666654</v>
      </c>
      <c r="AR37" s="131">
        <v>417671.77833333332</v>
      </c>
      <c r="AS37" s="131">
        <f t="shared" si="19"/>
        <v>9818221.6866666637</v>
      </c>
      <c r="AT37" s="134">
        <f t="shared" si="40"/>
        <v>0.21832358674463936</v>
      </c>
    </row>
    <row r="38" spans="3:46">
      <c r="C38" s="161">
        <f t="shared" si="7"/>
        <v>2018</v>
      </c>
      <c r="D38" s="35" t="s">
        <v>260</v>
      </c>
      <c r="E38" s="227">
        <v>43374</v>
      </c>
      <c r="F38" s="156">
        <v>237919</v>
      </c>
      <c r="G38" s="131">
        <f t="shared" si="8"/>
        <v>42635.084799999997</v>
      </c>
      <c r="H38" s="156">
        <v>15665.52</v>
      </c>
      <c r="I38" s="156">
        <v>0</v>
      </c>
      <c r="J38" s="156">
        <v>0</v>
      </c>
      <c r="K38" s="131">
        <f t="shared" si="9"/>
        <v>15665.52</v>
      </c>
      <c r="L38" s="134">
        <v>0.1792</v>
      </c>
      <c r="N38" s="227">
        <v>43374</v>
      </c>
      <c r="O38" s="35">
        <f t="shared" si="33"/>
        <v>40837991.459999993</v>
      </c>
      <c r="P38" s="35">
        <f t="shared" si="34"/>
        <v>7318168.0696319994</v>
      </c>
      <c r="Q38" s="35">
        <f t="shared" si="35"/>
        <v>8190816.629999999</v>
      </c>
      <c r="R38" s="35">
        <f t="shared" si="36"/>
        <v>3609355.53</v>
      </c>
      <c r="S38" s="35">
        <f t="shared" si="37"/>
        <v>113541.06</v>
      </c>
      <c r="T38" s="35">
        <f t="shared" si="38"/>
        <v>11913713.219999999</v>
      </c>
      <c r="U38" s="34">
        <f t="shared" si="39"/>
        <v>0.21832358674463936</v>
      </c>
      <c r="V38" s="232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232"/>
      <c r="AJ38" s="233"/>
      <c r="AL38" s="161">
        <f t="shared" si="17"/>
        <v>2021</v>
      </c>
      <c r="AM38" s="227">
        <v>44531</v>
      </c>
      <c r="AN38" s="477">
        <v>59642706.99000001</v>
      </c>
      <c r="AO38" s="131">
        <f t="shared" si="18"/>
        <v>10687973.092608001</v>
      </c>
      <c r="AP38" s="131">
        <v>3394528.7116666664</v>
      </c>
      <c r="AQ38" s="131">
        <v>6006021.1966666654</v>
      </c>
      <c r="AR38" s="131">
        <v>417671.77833333332</v>
      </c>
      <c r="AS38" s="131">
        <f t="shared" si="19"/>
        <v>9818221.6866666637</v>
      </c>
      <c r="AT38" s="134">
        <f t="shared" si="40"/>
        <v>0.21832358674463936</v>
      </c>
    </row>
    <row r="39" spans="3:46">
      <c r="C39" s="161">
        <f t="shared" si="7"/>
        <v>2018</v>
      </c>
      <c r="D39" s="35" t="s">
        <v>260</v>
      </c>
      <c r="E39" s="227">
        <v>43405</v>
      </c>
      <c r="F39" s="156">
        <v>266669.44672499999</v>
      </c>
      <c r="G39" s="131">
        <f t="shared" si="8"/>
        <v>47787.164853119997</v>
      </c>
      <c r="H39" s="156">
        <v>1769.84</v>
      </c>
      <c r="I39" s="156">
        <v>0</v>
      </c>
      <c r="J39" s="156">
        <v>57670.77</v>
      </c>
      <c r="K39" s="131">
        <f t="shared" si="9"/>
        <v>59440.609999999993</v>
      </c>
      <c r="L39" s="134">
        <v>0.1792</v>
      </c>
      <c r="N39" s="227">
        <v>43405</v>
      </c>
      <c r="O39" s="35">
        <f t="shared" si="33"/>
        <v>42325800.699925005</v>
      </c>
      <c r="P39" s="35">
        <f t="shared" si="34"/>
        <v>7584783.4854265582</v>
      </c>
      <c r="Q39" s="35">
        <f t="shared" si="35"/>
        <v>6238020.8400000008</v>
      </c>
      <c r="R39" s="35">
        <f t="shared" si="36"/>
        <v>2891786.5</v>
      </c>
      <c r="S39" s="35">
        <f t="shared" si="37"/>
        <v>2747211.53</v>
      </c>
      <c r="T39" s="35">
        <f t="shared" si="38"/>
        <v>11877018.869999999</v>
      </c>
      <c r="U39" s="34">
        <f t="shared" si="39"/>
        <v>0.21832358674463936</v>
      </c>
      <c r="V39" s="232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232"/>
      <c r="AJ39" s="233"/>
      <c r="AL39" s="161">
        <f t="shared" si="17"/>
        <v>2022</v>
      </c>
      <c r="AM39" s="227">
        <v>44562</v>
      </c>
      <c r="AN39" s="477">
        <v>63641280.520000011</v>
      </c>
      <c r="AO39" s="131">
        <f t="shared" si="18"/>
        <v>11404517.469184002</v>
      </c>
      <c r="AP39" s="131">
        <v>6629952.2383333324</v>
      </c>
      <c r="AQ39" s="131">
        <v>12056376.910833331</v>
      </c>
      <c r="AR39" s="131">
        <v>2191180.6616666671</v>
      </c>
      <c r="AS39" s="131">
        <f t="shared" si="19"/>
        <v>20877509.810833327</v>
      </c>
      <c r="AT39" s="134">
        <f t="shared" si="40"/>
        <v>0.21832358674463936</v>
      </c>
    </row>
    <row r="40" spans="3:46">
      <c r="C40" s="161">
        <f t="shared" si="7"/>
        <v>2018</v>
      </c>
      <c r="D40" s="35" t="s">
        <v>260</v>
      </c>
      <c r="E40" s="227">
        <v>43435</v>
      </c>
      <c r="F40" s="156">
        <v>257964.68</v>
      </c>
      <c r="G40" s="131">
        <f t="shared" si="8"/>
        <v>46227.270656000001</v>
      </c>
      <c r="H40" s="156">
        <v>1279.1600000000001</v>
      </c>
      <c r="I40" s="156">
        <v>0</v>
      </c>
      <c r="J40" s="156">
        <v>40698.89</v>
      </c>
      <c r="K40" s="131">
        <f t="shared" si="9"/>
        <v>41978.05</v>
      </c>
      <c r="L40" s="134">
        <v>0.1792</v>
      </c>
      <c r="N40" s="227">
        <v>43435</v>
      </c>
      <c r="O40" s="35">
        <f t="shared" si="33"/>
        <v>43464687.329999983</v>
      </c>
      <c r="P40" s="35">
        <f t="shared" si="34"/>
        <v>7788871.9695359962</v>
      </c>
      <c r="Q40" s="35">
        <f t="shared" si="35"/>
        <v>4288311.9699999988</v>
      </c>
      <c r="R40" s="35">
        <f t="shared" si="36"/>
        <v>3467569.540000001</v>
      </c>
      <c r="S40" s="35">
        <f t="shared" si="37"/>
        <v>516536.38000000006</v>
      </c>
      <c r="T40" s="35">
        <f t="shared" si="38"/>
        <v>8272417.8899999997</v>
      </c>
      <c r="U40" s="34">
        <f t="shared" si="39"/>
        <v>0.21832358674463936</v>
      </c>
      <c r="V40" s="232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232"/>
      <c r="AJ40" s="233"/>
      <c r="AL40" s="161">
        <f t="shared" si="17"/>
        <v>2022</v>
      </c>
      <c r="AM40" s="227">
        <v>44593</v>
      </c>
      <c r="AN40" s="477">
        <v>53036385.050000004</v>
      </c>
      <c r="AO40" s="131">
        <f t="shared" si="18"/>
        <v>9504120.200960001</v>
      </c>
      <c r="AP40" s="131">
        <v>6629952.2383333324</v>
      </c>
      <c r="AQ40" s="131">
        <v>12056376.910833331</v>
      </c>
      <c r="AR40" s="131">
        <v>2191180.6616666671</v>
      </c>
      <c r="AS40" s="131">
        <f t="shared" si="19"/>
        <v>20877509.810833327</v>
      </c>
      <c r="AT40" s="134">
        <f t="shared" si="40"/>
        <v>0.21832358674463936</v>
      </c>
    </row>
    <row r="41" spans="3:46">
      <c r="C41" s="161">
        <f t="shared" si="7"/>
        <v>2019</v>
      </c>
      <c r="D41" s="35" t="s">
        <v>260</v>
      </c>
      <c r="E41" s="227">
        <v>43466</v>
      </c>
      <c r="F41" s="156">
        <v>267756.62</v>
      </c>
      <c r="G41" s="131">
        <f t="shared" si="8"/>
        <v>47981.986303999998</v>
      </c>
      <c r="H41" s="156">
        <v>3514.42</v>
      </c>
      <c r="I41" s="156">
        <v>0</v>
      </c>
      <c r="J41" s="156">
        <v>0</v>
      </c>
      <c r="K41" s="131">
        <f t="shared" si="9"/>
        <v>3514.42</v>
      </c>
      <c r="L41" s="134">
        <v>0.1792</v>
      </c>
      <c r="N41" s="227">
        <v>43466</v>
      </c>
      <c r="O41" s="35">
        <f t="shared" si="33"/>
        <v>44752082.640000008</v>
      </c>
      <c r="P41" s="35">
        <f t="shared" si="34"/>
        <v>8019573.2090879995</v>
      </c>
      <c r="Q41" s="35">
        <f t="shared" si="35"/>
        <v>6350054.1999999983</v>
      </c>
      <c r="R41" s="35">
        <f t="shared" si="36"/>
        <v>5553787.6199999982</v>
      </c>
      <c r="S41" s="35">
        <f t="shared" si="37"/>
        <v>20585.009999999998</v>
      </c>
      <c r="T41" s="35">
        <f t="shared" si="38"/>
        <v>11924426.829999996</v>
      </c>
      <c r="U41" s="34">
        <f t="shared" si="39"/>
        <v>0.21832358674463914</v>
      </c>
      <c r="V41" s="232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232"/>
      <c r="AJ41" s="233"/>
      <c r="AL41" s="161">
        <f t="shared" si="17"/>
        <v>2022</v>
      </c>
      <c r="AM41" s="227">
        <v>44621</v>
      </c>
      <c r="AN41" s="477">
        <v>52389834.930000007</v>
      </c>
      <c r="AO41" s="131">
        <f t="shared" si="18"/>
        <v>9388258.4194560014</v>
      </c>
      <c r="AP41" s="131">
        <v>6629952.2383333324</v>
      </c>
      <c r="AQ41" s="131">
        <v>12056376.910833331</v>
      </c>
      <c r="AR41" s="131">
        <v>2191180.6616666671</v>
      </c>
      <c r="AS41" s="131">
        <f t="shared" si="19"/>
        <v>20877509.810833327</v>
      </c>
      <c r="AT41" s="134">
        <f t="shared" si="40"/>
        <v>0.21832358674463959</v>
      </c>
    </row>
    <row r="42" spans="3:46">
      <c r="C42" s="161">
        <f t="shared" si="7"/>
        <v>2019</v>
      </c>
      <c r="D42" s="35" t="s">
        <v>260</v>
      </c>
      <c r="E42" s="227">
        <v>43497</v>
      </c>
      <c r="F42" s="156">
        <v>270136.83</v>
      </c>
      <c r="G42" s="131">
        <f t="shared" si="8"/>
        <v>48408.519936000004</v>
      </c>
      <c r="H42" s="156">
        <v>3148.91</v>
      </c>
      <c r="I42" s="156">
        <v>0</v>
      </c>
      <c r="J42" s="156">
        <v>0</v>
      </c>
      <c r="K42" s="131">
        <f t="shared" si="9"/>
        <v>3148.91</v>
      </c>
      <c r="L42" s="134">
        <v>0.1792</v>
      </c>
      <c r="N42" s="227">
        <v>43497</v>
      </c>
      <c r="O42" s="35">
        <f t="shared" si="33"/>
        <v>44206295.999999993</v>
      </c>
      <c r="P42" s="35">
        <f t="shared" si="34"/>
        <v>7921768.2432000022</v>
      </c>
      <c r="Q42" s="35">
        <f t="shared" si="35"/>
        <v>8927438.7199999988</v>
      </c>
      <c r="R42" s="35">
        <f t="shared" si="36"/>
        <v>9172855.9299999997</v>
      </c>
      <c r="S42" s="35">
        <f t="shared" si="37"/>
        <v>64626.49</v>
      </c>
      <c r="T42" s="35">
        <f t="shared" si="38"/>
        <v>18164921.139999997</v>
      </c>
      <c r="U42" s="34">
        <f t="shared" si="39"/>
        <v>0.21832358674463959</v>
      </c>
      <c r="V42" s="232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232"/>
      <c r="AJ42" s="233"/>
      <c r="AL42" s="161">
        <f t="shared" si="17"/>
        <v>2022</v>
      </c>
      <c r="AM42" s="227">
        <v>44652</v>
      </c>
      <c r="AN42" s="477">
        <v>54730508.809999995</v>
      </c>
      <c r="AO42" s="131">
        <f t="shared" si="18"/>
        <v>9807707.1787519995</v>
      </c>
      <c r="AP42" s="131">
        <v>6629952.2383333324</v>
      </c>
      <c r="AQ42" s="131">
        <v>12056376.910833331</v>
      </c>
      <c r="AR42" s="131">
        <v>2191180.6616666671</v>
      </c>
      <c r="AS42" s="131">
        <f t="shared" si="19"/>
        <v>20877509.810833327</v>
      </c>
      <c r="AT42" s="134">
        <f t="shared" si="40"/>
        <v>0.21832358674463936</v>
      </c>
    </row>
    <row r="43" spans="3:46">
      <c r="C43" s="161">
        <f t="shared" si="7"/>
        <v>2019</v>
      </c>
      <c r="D43" s="35" t="s">
        <v>260</v>
      </c>
      <c r="E43" s="227">
        <v>43525</v>
      </c>
      <c r="F43" s="156">
        <v>225889.99</v>
      </c>
      <c r="G43" s="131">
        <f t="shared" si="8"/>
        <v>40479.486207999995</v>
      </c>
      <c r="H43" s="156">
        <v>3531.84</v>
      </c>
      <c r="I43" s="156">
        <v>97515.42</v>
      </c>
      <c r="J43" s="156">
        <v>0</v>
      </c>
      <c r="K43" s="131">
        <f t="shared" si="9"/>
        <v>101047.26</v>
      </c>
      <c r="L43" s="134">
        <v>0.1792</v>
      </c>
      <c r="N43" s="227">
        <v>43525</v>
      </c>
      <c r="O43" s="35">
        <f t="shared" si="33"/>
        <v>39107048.809999973</v>
      </c>
      <c r="P43" s="35">
        <f t="shared" si="34"/>
        <v>7007983.1467520008</v>
      </c>
      <c r="Q43" s="35">
        <f t="shared" si="35"/>
        <v>5146260.9199999981</v>
      </c>
      <c r="R43" s="35">
        <f t="shared" si="36"/>
        <v>8591128.6500000004</v>
      </c>
      <c r="S43" s="35">
        <f t="shared" si="37"/>
        <v>57712.31</v>
      </c>
      <c r="T43" s="35">
        <f t="shared" si="38"/>
        <v>13795101.879999999</v>
      </c>
      <c r="U43" s="34">
        <f t="shared" si="39"/>
        <v>0.21832358674463959</v>
      </c>
      <c r="V43" s="232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232"/>
      <c r="AJ43" s="233"/>
      <c r="AL43" s="161">
        <f t="shared" si="17"/>
        <v>2022</v>
      </c>
      <c r="AM43" s="227">
        <v>44682</v>
      </c>
      <c r="AN43" s="477">
        <v>52232384.279999994</v>
      </c>
      <c r="AO43" s="131">
        <f t="shared" si="18"/>
        <v>9360043.2629759982</v>
      </c>
      <c r="AP43" s="131">
        <v>6629952.2383333324</v>
      </c>
      <c r="AQ43" s="131">
        <v>12056376.910833331</v>
      </c>
      <c r="AR43" s="131">
        <v>2191180.6616666671</v>
      </c>
      <c r="AS43" s="131">
        <f t="shared" si="19"/>
        <v>20877509.810833327</v>
      </c>
      <c r="AT43" s="134">
        <f t="shared" si="40"/>
        <v>0.21832358674463936</v>
      </c>
    </row>
    <row r="44" spans="3:46">
      <c r="C44" s="161">
        <f t="shared" si="7"/>
        <v>2019</v>
      </c>
      <c r="D44" s="35" t="s">
        <v>260</v>
      </c>
      <c r="E44" s="227">
        <v>43556</v>
      </c>
      <c r="F44" s="156">
        <v>261039.11</v>
      </c>
      <c r="G44" s="131">
        <f t="shared" si="8"/>
        <v>46778.208511999997</v>
      </c>
      <c r="H44" s="156">
        <v>12485.06</v>
      </c>
      <c r="I44" s="156">
        <v>0</v>
      </c>
      <c r="J44" s="156">
        <v>0</v>
      </c>
      <c r="K44" s="131">
        <f t="shared" si="9"/>
        <v>12485.06</v>
      </c>
      <c r="L44" s="134">
        <v>0.1792</v>
      </c>
      <c r="N44" s="227">
        <v>43556</v>
      </c>
      <c r="O44" s="35">
        <f t="shared" si="33"/>
        <v>42706974.729999989</v>
      </c>
      <c r="P44" s="35">
        <f t="shared" si="34"/>
        <v>7653089.8716160012</v>
      </c>
      <c r="Q44" s="35">
        <f t="shared" si="35"/>
        <v>4626387.1100000013</v>
      </c>
      <c r="R44" s="35">
        <f t="shared" si="36"/>
        <v>5669972.4799999986</v>
      </c>
      <c r="S44" s="35">
        <f t="shared" si="37"/>
        <v>135269.44</v>
      </c>
      <c r="T44" s="35">
        <f t="shared" si="38"/>
        <v>10431629.029999999</v>
      </c>
      <c r="U44" s="34">
        <f t="shared" si="39"/>
        <v>0.21832358674463936</v>
      </c>
      <c r="V44" s="232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232"/>
      <c r="AJ44" s="233"/>
      <c r="AL44" s="161">
        <f t="shared" si="17"/>
        <v>2022</v>
      </c>
      <c r="AM44" s="227">
        <v>44713</v>
      </c>
      <c r="AN44" s="477">
        <v>51015200.530000016</v>
      </c>
      <c r="AO44" s="131">
        <f t="shared" si="18"/>
        <v>9141923.9349760022</v>
      </c>
      <c r="AP44" s="131">
        <v>6629952.2383333324</v>
      </c>
      <c r="AQ44" s="131">
        <v>12056376.910833331</v>
      </c>
      <c r="AR44" s="131">
        <v>2191180.6616666671</v>
      </c>
      <c r="AS44" s="131">
        <f t="shared" si="19"/>
        <v>20877509.810833327</v>
      </c>
      <c r="AT44" s="134">
        <f t="shared" si="40"/>
        <v>0.21832358674463936</v>
      </c>
    </row>
    <row r="45" spans="3:46">
      <c r="C45" s="161">
        <f t="shared" si="7"/>
        <v>2019</v>
      </c>
      <c r="D45" s="35" t="s">
        <v>260</v>
      </c>
      <c r="E45" s="227">
        <v>43586</v>
      </c>
      <c r="F45" s="156">
        <v>240251.59</v>
      </c>
      <c r="G45" s="131">
        <f t="shared" si="8"/>
        <v>43053.084927999997</v>
      </c>
      <c r="H45" s="156">
        <v>10152.17</v>
      </c>
      <c r="I45" s="156">
        <v>0</v>
      </c>
      <c r="J45" s="156">
        <v>0</v>
      </c>
      <c r="K45" s="131">
        <f t="shared" si="9"/>
        <v>10152.17</v>
      </c>
      <c r="L45" s="134">
        <v>0.1792</v>
      </c>
      <c r="N45" s="227">
        <v>43586</v>
      </c>
      <c r="O45" s="35">
        <f t="shared" si="33"/>
        <v>40906716.780000009</v>
      </c>
      <c r="P45" s="35">
        <f t="shared" si="34"/>
        <v>7330483.6469760025</v>
      </c>
      <c r="Q45" s="35">
        <f t="shared" si="35"/>
        <v>7150522.0459999982</v>
      </c>
      <c r="R45" s="35">
        <f t="shared" si="36"/>
        <v>11525093.869999999</v>
      </c>
      <c r="S45" s="35">
        <f t="shared" si="37"/>
        <v>61866.65</v>
      </c>
      <c r="T45" s="35">
        <f t="shared" si="38"/>
        <v>18737482.565999996</v>
      </c>
      <c r="U45" s="34">
        <f t="shared" si="39"/>
        <v>0.21832358674463936</v>
      </c>
      <c r="V45" s="232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232"/>
      <c r="AJ45" s="233"/>
      <c r="AL45" s="161">
        <f t="shared" si="17"/>
        <v>2022</v>
      </c>
      <c r="AM45" s="227">
        <v>44743</v>
      </c>
      <c r="AN45" s="477">
        <v>53771967.460000016</v>
      </c>
      <c r="AO45" s="131">
        <f t="shared" si="18"/>
        <v>9635936.5688320026</v>
      </c>
      <c r="AP45" s="131">
        <v>6629952.2383333324</v>
      </c>
      <c r="AQ45" s="131">
        <v>12056376.910833331</v>
      </c>
      <c r="AR45" s="131">
        <v>2191180.6616666671</v>
      </c>
      <c r="AS45" s="131">
        <f t="shared" si="19"/>
        <v>20877509.810833327</v>
      </c>
      <c r="AT45" s="134">
        <f t="shared" si="40"/>
        <v>0.21832358674463936</v>
      </c>
    </row>
    <row r="46" spans="3:46">
      <c r="C46" s="161">
        <f t="shared" si="7"/>
        <v>2019</v>
      </c>
      <c r="D46" s="35" t="s">
        <v>260</v>
      </c>
      <c r="E46" s="227">
        <v>43617</v>
      </c>
      <c r="F46" s="156">
        <v>251261.51</v>
      </c>
      <c r="G46" s="131">
        <f t="shared" si="8"/>
        <v>45026.062592000002</v>
      </c>
      <c r="H46" s="156">
        <v>14188</v>
      </c>
      <c r="I46" s="156">
        <v>0</v>
      </c>
      <c r="J46" s="156">
        <v>0</v>
      </c>
      <c r="K46" s="131">
        <f t="shared" si="9"/>
        <v>14188</v>
      </c>
      <c r="L46" s="134">
        <v>0.1792</v>
      </c>
      <c r="N46" s="227">
        <v>43617</v>
      </c>
      <c r="O46" s="35">
        <f t="shared" si="33"/>
        <v>41100167.480000012</v>
      </c>
      <c r="P46" s="35">
        <f t="shared" si="34"/>
        <v>7365150.0124159995</v>
      </c>
      <c r="Q46" s="35">
        <f t="shared" si="35"/>
        <v>6222032.0859999992</v>
      </c>
      <c r="R46" s="35">
        <f t="shared" si="36"/>
        <v>9348684.5499999989</v>
      </c>
      <c r="S46" s="35">
        <f t="shared" si="37"/>
        <v>2143.8010000000004</v>
      </c>
      <c r="T46" s="35">
        <f t="shared" si="38"/>
        <v>15572860.436999999</v>
      </c>
      <c r="U46" s="34">
        <f t="shared" si="39"/>
        <v>0.21832358674463914</v>
      </c>
      <c r="V46" s="232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232"/>
      <c r="AJ46" s="233"/>
      <c r="AL46" s="161">
        <f t="shared" si="17"/>
        <v>2022</v>
      </c>
      <c r="AM46" s="227">
        <v>44774</v>
      </c>
      <c r="AN46" s="477">
        <v>57458546.470000014</v>
      </c>
      <c r="AO46" s="131">
        <f t="shared" si="18"/>
        <v>10296571.527424002</v>
      </c>
      <c r="AP46" s="131">
        <v>6629952.2383333324</v>
      </c>
      <c r="AQ46" s="131">
        <v>12056376.910833331</v>
      </c>
      <c r="AR46" s="131">
        <v>2191180.6616666671</v>
      </c>
      <c r="AS46" s="131">
        <f t="shared" si="19"/>
        <v>20877509.810833327</v>
      </c>
      <c r="AT46" s="134">
        <f t="shared" si="40"/>
        <v>0.21832358674463936</v>
      </c>
    </row>
    <row r="47" spans="3:46">
      <c r="C47" s="161">
        <f t="shared" si="7"/>
        <v>2019</v>
      </c>
      <c r="D47" s="35" t="s">
        <v>260</v>
      </c>
      <c r="E47" s="227">
        <v>43647</v>
      </c>
      <c r="F47" s="156">
        <v>239221.91</v>
      </c>
      <c r="G47" s="131">
        <f t="shared" si="8"/>
        <v>42868.566272000004</v>
      </c>
      <c r="H47" s="156">
        <v>4473.4799999999996</v>
      </c>
      <c r="I47" s="156">
        <v>0</v>
      </c>
      <c r="J47" s="156">
        <v>0</v>
      </c>
      <c r="K47" s="131">
        <f t="shared" si="9"/>
        <v>4473.4799999999996</v>
      </c>
      <c r="L47" s="134">
        <v>0.1792</v>
      </c>
      <c r="N47" s="227">
        <v>43647</v>
      </c>
      <c r="O47" s="35">
        <f t="shared" si="33"/>
        <v>40793377.159999996</v>
      </c>
      <c r="P47" s="35">
        <f t="shared" si="34"/>
        <v>7310173.1870719977</v>
      </c>
      <c r="Q47" s="35">
        <f t="shared" si="35"/>
        <v>7549488.2899999982</v>
      </c>
      <c r="R47" s="35">
        <f t="shared" si="36"/>
        <v>8028619.6600000001</v>
      </c>
      <c r="S47" s="35">
        <f t="shared" si="37"/>
        <v>240347.51</v>
      </c>
      <c r="T47" s="35">
        <f t="shared" si="38"/>
        <v>15818455.459999999</v>
      </c>
      <c r="U47" s="34">
        <f t="shared" si="39"/>
        <v>0.21832358674463936</v>
      </c>
      <c r="V47" s="232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232"/>
      <c r="AJ47" s="233"/>
      <c r="AL47" s="161">
        <f t="shared" si="17"/>
        <v>2022</v>
      </c>
      <c r="AM47" s="227">
        <v>44805</v>
      </c>
      <c r="AN47" s="477">
        <v>57704894.930000007</v>
      </c>
      <c r="AO47" s="131">
        <f t="shared" si="18"/>
        <v>10340717.171456002</v>
      </c>
      <c r="AP47" s="131">
        <v>6629952.2383333324</v>
      </c>
      <c r="AQ47" s="131">
        <v>12056376.910833331</v>
      </c>
      <c r="AR47" s="131">
        <v>2191180.6616666671</v>
      </c>
      <c r="AS47" s="131">
        <f t="shared" si="19"/>
        <v>20877509.810833327</v>
      </c>
      <c r="AT47" s="134">
        <f t="shared" si="40"/>
        <v>0.21832358674463936</v>
      </c>
    </row>
    <row r="48" spans="3:46">
      <c r="C48" s="161">
        <f t="shared" si="7"/>
        <v>2019</v>
      </c>
      <c r="D48" s="35" t="s">
        <v>260</v>
      </c>
      <c r="E48" s="227">
        <v>43678</v>
      </c>
      <c r="F48" s="156">
        <v>253539.62</v>
      </c>
      <c r="G48" s="131">
        <f t="shared" si="8"/>
        <v>45434.299904</v>
      </c>
      <c r="H48" s="156">
        <v>11767.51</v>
      </c>
      <c r="I48" s="156">
        <v>0</v>
      </c>
      <c r="J48" s="156">
        <v>0</v>
      </c>
      <c r="K48" s="131">
        <f t="shared" si="9"/>
        <v>11767.51</v>
      </c>
      <c r="L48" s="134">
        <v>0.1792</v>
      </c>
      <c r="N48" s="227">
        <v>43678</v>
      </c>
      <c r="O48" s="35">
        <f t="shared" si="33"/>
        <v>43791113.750000007</v>
      </c>
      <c r="P48" s="35">
        <f t="shared" si="34"/>
        <v>7847367.5839999989</v>
      </c>
      <c r="Q48" s="35">
        <f t="shared" si="35"/>
        <v>6600785.2299999986</v>
      </c>
      <c r="R48" s="35">
        <f t="shared" si="36"/>
        <v>6474512.9799999995</v>
      </c>
      <c r="S48" s="35">
        <f t="shared" si="37"/>
        <v>15114.6</v>
      </c>
      <c r="T48" s="35">
        <f t="shared" si="38"/>
        <v>13090412.809999997</v>
      </c>
      <c r="U48" s="34">
        <f t="shared" si="39"/>
        <v>0.21832358674463936</v>
      </c>
      <c r="V48" s="232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232"/>
      <c r="AJ48" s="233"/>
      <c r="AL48" s="161">
        <f t="shared" si="17"/>
        <v>2022</v>
      </c>
      <c r="AM48" s="227">
        <v>44835</v>
      </c>
      <c r="AN48" s="477">
        <v>52818507.439999998</v>
      </c>
      <c r="AO48" s="131">
        <f t="shared" si="18"/>
        <v>9465076.5332479998</v>
      </c>
      <c r="AP48" s="131">
        <v>6629952.2383333324</v>
      </c>
      <c r="AQ48" s="131">
        <v>12056376.910833331</v>
      </c>
      <c r="AR48" s="131">
        <v>2191180.6616666671</v>
      </c>
      <c r="AS48" s="131">
        <f t="shared" si="19"/>
        <v>20877509.810833327</v>
      </c>
      <c r="AT48" s="134">
        <f t="shared" si="40"/>
        <v>0.21832358674463936</v>
      </c>
    </row>
    <row r="49" spans="3:46">
      <c r="C49" s="161">
        <f t="shared" si="7"/>
        <v>2019</v>
      </c>
      <c r="D49" s="35" t="s">
        <v>260</v>
      </c>
      <c r="E49" s="227">
        <v>43709</v>
      </c>
      <c r="F49" s="156">
        <v>300369.68</v>
      </c>
      <c r="G49" s="131">
        <f t="shared" si="8"/>
        <v>53826.246655999996</v>
      </c>
      <c r="H49" s="156">
        <v>46020.23</v>
      </c>
      <c r="I49" s="156">
        <v>0</v>
      </c>
      <c r="J49" s="156">
        <v>11708.26</v>
      </c>
      <c r="K49" s="131">
        <f t="shared" si="9"/>
        <v>57728.490000000005</v>
      </c>
      <c r="L49" s="134">
        <v>0.1792</v>
      </c>
      <c r="N49" s="227">
        <v>43709</v>
      </c>
      <c r="O49" s="35">
        <f t="shared" si="33"/>
        <v>48526831.459999993</v>
      </c>
      <c r="P49" s="35">
        <f t="shared" si="34"/>
        <v>8696008.1976320017</v>
      </c>
      <c r="Q49" s="35">
        <f t="shared" si="35"/>
        <v>7515433.5399999991</v>
      </c>
      <c r="R49" s="35">
        <f t="shared" si="36"/>
        <v>6051584.6100000013</v>
      </c>
      <c r="S49" s="35">
        <f t="shared" si="37"/>
        <v>1004365.7700000001</v>
      </c>
      <c r="T49" s="35">
        <f t="shared" si="38"/>
        <v>14571383.92</v>
      </c>
      <c r="U49" s="34">
        <f t="shared" si="39"/>
        <v>0.21832358674463936</v>
      </c>
      <c r="V49" s="232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232"/>
      <c r="AJ49" s="233"/>
      <c r="AL49" s="161">
        <f t="shared" si="17"/>
        <v>2022</v>
      </c>
      <c r="AM49" s="227">
        <v>44866</v>
      </c>
      <c r="AN49" s="477">
        <v>59189976.330000006</v>
      </c>
      <c r="AO49" s="131">
        <f t="shared" si="18"/>
        <v>10606843.758336</v>
      </c>
      <c r="AP49" s="131">
        <v>6629952.2383333324</v>
      </c>
      <c r="AQ49" s="131">
        <v>12056376.910833331</v>
      </c>
      <c r="AR49" s="131">
        <v>2191180.6616666671</v>
      </c>
      <c r="AS49" s="131">
        <f t="shared" si="19"/>
        <v>20877509.810833327</v>
      </c>
      <c r="AT49" s="134">
        <f t="shared" si="40"/>
        <v>0.21832358674463936</v>
      </c>
    </row>
    <row r="50" spans="3:46">
      <c r="C50" s="161">
        <f t="shared" si="7"/>
        <v>2019</v>
      </c>
      <c r="D50" s="35" t="s">
        <v>260</v>
      </c>
      <c r="E50" s="227">
        <v>43739</v>
      </c>
      <c r="F50" s="156">
        <v>296771.09999999998</v>
      </c>
      <c r="G50" s="131">
        <f t="shared" si="8"/>
        <v>53181.381119999998</v>
      </c>
      <c r="H50" s="156">
        <v>73076.240000000005</v>
      </c>
      <c r="I50" s="156">
        <v>0</v>
      </c>
      <c r="J50" s="156">
        <v>0</v>
      </c>
      <c r="K50" s="131">
        <f t="shared" si="9"/>
        <v>73076.240000000005</v>
      </c>
      <c r="L50" s="134">
        <v>0.1792</v>
      </c>
      <c r="N50" s="227">
        <v>43739</v>
      </c>
      <c r="O50" s="35">
        <f t="shared" si="33"/>
        <v>47229633.310000017</v>
      </c>
      <c r="P50" s="35">
        <f t="shared" si="34"/>
        <v>8463550.2891520001</v>
      </c>
      <c r="Q50" s="35">
        <f t="shared" si="35"/>
        <v>4769824.3939999994</v>
      </c>
      <c r="R50" s="35">
        <f t="shared" si="36"/>
        <v>3755698.1100000013</v>
      </c>
      <c r="S50" s="35">
        <f t="shared" si="37"/>
        <v>4497299.1899999995</v>
      </c>
      <c r="T50" s="35">
        <f t="shared" si="38"/>
        <v>13022821.694</v>
      </c>
      <c r="U50" s="34">
        <f t="shared" si="39"/>
        <v>0.21832358674463914</v>
      </c>
      <c r="V50" s="232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575"/>
      <c r="AI50" s="232"/>
      <c r="AJ50" s="233"/>
      <c r="AL50" s="161">
        <f t="shared" si="17"/>
        <v>2022</v>
      </c>
      <c r="AM50" s="227">
        <v>44896</v>
      </c>
      <c r="AN50" s="477">
        <v>61261555.379999973</v>
      </c>
      <c r="AO50" s="131">
        <f t="shared" si="18"/>
        <v>10978070.724095995</v>
      </c>
      <c r="AP50" s="131">
        <v>6629952.2383333324</v>
      </c>
      <c r="AQ50" s="131">
        <v>12056376.910833331</v>
      </c>
      <c r="AR50" s="131">
        <v>2191180.6616666671</v>
      </c>
      <c r="AS50" s="131">
        <f t="shared" si="19"/>
        <v>20877509.810833327</v>
      </c>
      <c r="AT50" s="134">
        <f t="shared" si="40"/>
        <v>0.21832358674463936</v>
      </c>
    </row>
    <row r="51" spans="3:46">
      <c r="C51" s="161">
        <f t="shared" si="7"/>
        <v>2019</v>
      </c>
      <c r="D51" s="35" t="s">
        <v>260</v>
      </c>
      <c r="E51" s="227">
        <v>43770</v>
      </c>
      <c r="F51" s="156">
        <v>303361.09000000003</v>
      </c>
      <c r="G51" s="131">
        <f t="shared" si="8"/>
        <v>54362.307328000003</v>
      </c>
      <c r="H51" s="156">
        <v>768854.55</v>
      </c>
      <c r="I51" s="156">
        <v>0</v>
      </c>
      <c r="J51" s="156">
        <v>0</v>
      </c>
      <c r="K51" s="131">
        <f t="shared" si="9"/>
        <v>768854.55</v>
      </c>
      <c r="L51" s="134">
        <v>0.1792</v>
      </c>
      <c r="N51" s="227">
        <v>43770</v>
      </c>
      <c r="O51" s="35">
        <f t="shared" si="33"/>
        <v>50962964.609999992</v>
      </c>
      <c r="P51" s="35">
        <f t="shared" si="34"/>
        <v>9132563.2581120003</v>
      </c>
      <c r="Q51" s="35">
        <f t="shared" si="35"/>
        <v>4093840.08</v>
      </c>
      <c r="R51" s="35">
        <f t="shared" si="36"/>
        <v>4600801.9899999993</v>
      </c>
      <c r="S51" s="35">
        <f t="shared" si="37"/>
        <v>30571.55</v>
      </c>
      <c r="T51" s="35">
        <f t="shared" si="38"/>
        <v>8725213.620000001</v>
      </c>
      <c r="U51" s="34">
        <f t="shared" si="39"/>
        <v>0.21832358674463936</v>
      </c>
      <c r="V51" s="232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575"/>
      <c r="AI51" s="232"/>
      <c r="AJ51" s="233"/>
      <c r="AL51" s="161">
        <f t="shared" si="17"/>
        <v>2023</v>
      </c>
      <c r="AM51" s="227">
        <v>44927</v>
      </c>
      <c r="AN51" s="477">
        <v>61004293.23999998</v>
      </c>
      <c r="AO51" s="131">
        <f t="shared" si="18"/>
        <v>10931969.348607996</v>
      </c>
      <c r="AP51" s="131">
        <v>6670578.9558333345</v>
      </c>
      <c r="AQ51" s="131">
        <v>14303253.144999998</v>
      </c>
      <c r="AR51" s="131">
        <v>888119.6925</v>
      </c>
      <c r="AS51" s="131">
        <f t="shared" si="19"/>
        <v>21861951.793333333</v>
      </c>
      <c r="AT51" s="134">
        <f t="shared" si="40"/>
        <v>0.21832358674463936</v>
      </c>
    </row>
    <row r="52" spans="3:46">
      <c r="C52" s="161">
        <f t="shared" si="7"/>
        <v>2019</v>
      </c>
      <c r="D52" s="35" t="s">
        <v>260</v>
      </c>
      <c r="E52" s="227">
        <v>43800</v>
      </c>
      <c r="F52" s="156">
        <v>274565.78000000003</v>
      </c>
      <c r="G52" s="131">
        <f t="shared" si="8"/>
        <v>49202.187776000006</v>
      </c>
      <c r="H52" s="156">
        <v>1513.38</v>
      </c>
      <c r="I52" s="156">
        <v>0</v>
      </c>
      <c r="J52" s="156">
        <v>0</v>
      </c>
      <c r="K52" s="131">
        <f t="shared" si="9"/>
        <v>1513.38</v>
      </c>
      <c r="L52" s="134">
        <v>0.1792</v>
      </c>
      <c r="N52" s="227">
        <v>43800</v>
      </c>
      <c r="O52" s="35">
        <f t="shared" si="33"/>
        <v>47668066.519999996</v>
      </c>
      <c r="P52" s="35">
        <f t="shared" si="34"/>
        <v>8542117.5203839988</v>
      </c>
      <c r="Q52" s="35">
        <f t="shared" si="35"/>
        <v>5009662.9479999989</v>
      </c>
      <c r="R52" s="35">
        <f t="shared" si="36"/>
        <v>3678190.76</v>
      </c>
      <c r="S52" s="35">
        <f t="shared" si="37"/>
        <v>5532.74</v>
      </c>
      <c r="T52" s="35">
        <f t="shared" si="38"/>
        <v>8693386.4479999989</v>
      </c>
      <c r="U52" s="34">
        <f t="shared" si="39"/>
        <v>0.21832358674463936</v>
      </c>
      <c r="V52" s="232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575"/>
      <c r="AI52" s="232"/>
      <c r="AJ52" s="233"/>
      <c r="AL52" s="161">
        <f t="shared" si="17"/>
        <v>2023</v>
      </c>
      <c r="AM52" s="227">
        <v>44958</v>
      </c>
      <c r="AN52" s="477">
        <v>57965754.709999993</v>
      </c>
      <c r="AO52" s="131">
        <f t="shared" si="18"/>
        <v>10387463.244031999</v>
      </c>
      <c r="AP52" s="131">
        <v>6670578.9558333345</v>
      </c>
      <c r="AQ52" s="131">
        <v>14303253.144999998</v>
      </c>
      <c r="AR52" s="131">
        <v>888119.6925</v>
      </c>
      <c r="AS52" s="131">
        <f t="shared" si="19"/>
        <v>21861951.793333333</v>
      </c>
      <c r="AT52" s="134">
        <f t="shared" si="40"/>
        <v>0.21832358674463936</v>
      </c>
    </row>
    <row r="53" spans="3:46">
      <c r="C53" s="161">
        <f t="shared" si="7"/>
        <v>2020</v>
      </c>
      <c r="D53" s="35" t="s">
        <v>260</v>
      </c>
      <c r="E53" s="227">
        <v>43831</v>
      </c>
      <c r="F53" s="156">
        <v>280871.89</v>
      </c>
      <c r="G53" s="131">
        <f t="shared" si="8"/>
        <v>50332.242687999998</v>
      </c>
      <c r="H53" s="156">
        <v>3518.12</v>
      </c>
      <c r="I53" s="156">
        <v>0</v>
      </c>
      <c r="J53" s="156">
        <v>0</v>
      </c>
      <c r="K53" s="131">
        <f t="shared" si="9"/>
        <v>3518.12</v>
      </c>
      <c r="L53" s="134">
        <v>0.1792</v>
      </c>
      <c r="N53" s="227">
        <v>43831</v>
      </c>
      <c r="O53" s="35">
        <f t="shared" si="33"/>
        <v>46410801.040000014</v>
      </c>
      <c r="P53" s="35">
        <f t="shared" si="34"/>
        <v>8316815.5463679992</v>
      </c>
      <c r="Q53" s="35">
        <f t="shared" si="35"/>
        <v>4705193.0299999993</v>
      </c>
      <c r="R53" s="35">
        <f t="shared" si="36"/>
        <v>3652925.7600000002</v>
      </c>
      <c r="S53" s="35">
        <f t="shared" si="37"/>
        <v>15178.720000000003</v>
      </c>
      <c r="T53" s="35">
        <f t="shared" si="38"/>
        <v>8373297.5099999988</v>
      </c>
      <c r="U53" s="34">
        <f t="shared" si="39"/>
        <v>0.21832358674463914</v>
      </c>
      <c r="V53" s="232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232"/>
      <c r="AJ53" s="233"/>
      <c r="AL53" s="161">
        <f t="shared" si="17"/>
        <v>2023</v>
      </c>
      <c r="AM53" s="227">
        <v>44986</v>
      </c>
      <c r="AN53" s="477">
        <v>52720232.259999998</v>
      </c>
      <c r="AO53" s="131">
        <f t="shared" si="18"/>
        <v>9447465.6209919993</v>
      </c>
      <c r="AP53" s="131">
        <v>6670578.9558333345</v>
      </c>
      <c r="AQ53" s="131">
        <v>14303253.144999998</v>
      </c>
      <c r="AR53" s="131">
        <v>888119.6925</v>
      </c>
      <c r="AS53" s="131">
        <f t="shared" si="19"/>
        <v>21861951.793333333</v>
      </c>
      <c r="AT53" s="134">
        <f t="shared" si="40"/>
        <v>0.21832358674463936</v>
      </c>
    </row>
    <row r="54" spans="3:46">
      <c r="C54" s="161">
        <f t="shared" si="7"/>
        <v>2020</v>
      </c>
      <c r="D54" s="35" t="s">
        <v>260</v>
      </c>
      <c r="E54" s="227">
        <v>43862</v>
      </c>
      <c r="F54" s="156">
        <v>267023.62</v>
      </c>
      <c r="G54" s="131">
        <f t="shared" si="8"/>
        <v>47850.632703999996</v>
      </c>
      <c r="H54" s="156">
        <v>4433.83</v>
      </c>
      <c r="I54" s="156">
        <v>0</v>
      </c>
      <c r="J54" s="156">
        <v>0</v>
      </c>
      <c r="K54" s="131">
        <f t="shared" si="9"/>
        <v>4433.83</v>
      </c>
      <c r="L54" s="134">
        <v>0.1792</v>
      </c>
      <c r="N54" s="227">
        <v>43862</v>
      </c>
      <c r="O54" s="35">
        <f t="shared" si="33"/>
        <v>44639976.340000011</v>
      </c>
      <c r="P54" s="35">
        <f t="shared" si="34"/>
        <v>7999483.760127997</v>
      </c>
      <c r="Q54" s="35">
        <f t="shared" si="35"/>
        <v>2375774.94</v>
      </c>
      <c r="R54" s="35">
        <f t="shared" si="36"/>
        <v>2172399.8600000003</v>
      </c>
      <c r="S54" s="35">
        <f t="shared" si="37"/>
        <v>25261.109999999997</v>
      </c>
      <c r="T54" s="35">
        <f t="shared" si="38"/>
        <v>4573435.9100000011</v>
      </c>
      <c r="U54" s="34">
        <f t="shared" si="39"/>
        <v>0.21832358674463936</v>
      </c>
      <c r="V54" s="232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232"/>
      <c r="AJ54" s="233"/>
      <c r="AL54" s="161">
        <f t="shared" si="17"/>
        <v>2023</v>
      </c>
      <c r="AM54" s="227">
        <v>45017</v>
      </c>
      <c r="AN54" s="477">
        <v>60249363.689999998</v>
      </c>
      <c r="AO54" s="131">
        <f t="shared" si="18"/>
        <v>10796685.973247999</v>
      </c>
      <c r="AP54" s="131">
        <v>6670578.9558333345</v>
      </c>
      <c r="AQ54" s="131">
        <v>14303253.144999998</v>
      </c>
      <c r="AR54" s="131">
        <v>888119.6925</v>
      </c>
      <c r="AS54" s="131">
        <f t="shared" si="19"/>
        <v>21861951.793333333</v>
      </c>
      <c r="AT54" s="134">
        <f t="shared" si="40"/>
        <v>0.21832358674463936</v>
      </c>
    </row>
    <row r="55" spans="3:46">
      <c r="C55" s="161">
        <f t="shared" si="7"/>
        <v>2020</v>
      </c>
      <c r="D55" s="35" t="s">
        <v>260</v>
      </c>
      <c r="E55" s="227">
        <v>43891</v>
      </c>
      <c r="F55" s="156">
        <v>269528.51</v>
      </c>
      <c r="G55" s="131">
        <f t="shared" si="8"/>
        <v>48299.508992000003</v>
      </c>
      <c r="H55" s="156">
        <v>5392.69</v>
      </c>
      <c r="I55" s="156">
        <v>0</v>
      </c>
      <c r="J55" s="156">
        <v>0</v>
      </c>
      <c r="K55" s="131">
        <f t="shared" si="9"/>
        <v>5392.69</v>
      </c>
      <c r="L55" s="134">
        <v>0.1792</v>
      </c>
      <c r="N55" s="227">
        <v>43891</v>
      </c>
      <c r="O55" s="35">
        <f t="shared" si="33"/>
        <v>44725913.023474984</v>
      </c>
      <c r="P55" s="35">
        <f t="shared" si="34"/>
        <v>8014883.6138067199</v>
      </c>
      <c r="Q55" s="35">
        <f t="shared" si="35"/>
        <v>2977159.9199999985</v>
      </c>
      <c r="R55" s="35">
        <f t="shared" si="36"/>
        <v>2224644.64</v>
      </c>
      <c r="S55" s="35">
        <f t="shared" si="37"/>
        <v>1061.5899999999999</v>
      </c>
      <c r="T55" s="35">
        <f t="shared" si="38"/>
        <v>5202866.1499999985</v>
      </c>
      <c r="U55" s="34">
        <f t="shared" si="39"/>
        <v>0.21832358674463936</v>
      </c>
      <c r="V55" s="232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232"/>
      <c r="AJ55" s="233"/>
      <c r="AL55" s="161">
        <f t="shared" si="17"/>
        <v>2023</v>
      </c>
      <c r="AM55" s="227">
        <v>45047</v>
      </c>
      <c r="AN55" s="477">
        <v>55332938.609999999</v>
      </c>
      <c r="AO55" s="131">
        <f t="shared" si="18"/>
        <v>9915662.5989120007</v>
      </c>
      <c r="AP55" s="131">
        <v>6670578.9558333345</v>
      </c>
      <c r="AQ55" s="131">
        <v>14303253.144999998</v>
      </c>
      <c r="AR55" s="131">
        <v>888119.6925</v>
      </c>
      <c r="AS55" s="131">
        <f t="shared" si="19"/>
        <v>21861951.793333333</v>
      </c>
      <c r="AT55" s="134">
        <f t="shared" si="40"/>
        <v>0.21832358674463936</v>
      </c>
    </row>
    <row r="56" spans="3:46">
      <c r="C56" s="161">
        <f t="shared" si="7"/>
        <v>2020</v>
      </c>
      <c r="D56" s="35" t="s">
        <v>260</v>
      </c>
      <c r="E56" s="227">
        <v>43922</v>
      </c>
      <c r="F56" s="156">
        <v>275649.43147499999</v>
      </c>
      <c r="G56" s="131">
        <f t="shared" si="8"/>
        <v>49396.378120319998</v>
      </c>
      <c r="H56" s="156">
        <v>3044.15</v>
      </c>
      <c r="I56" s="156">
        <v>0</v>
      </c>
      <c r="J56" s="156">
        <v>0</v>
      </c>
      <c r="K56" s="131">
        <f t="shared" si="9"/>
        <v>3044.15</v>
      </c>
      <c r="L56" s="134">
        <v>0.1792</v>
      </c>
      <c r="N56" s="227">
        <v>43922</v>
      </c>
      <c r="O56" s="35">
        <f t="shared" si="33"/>
        <v>46264984.986824982</v>
      </c>
      <c r="P56" s="35">
        <f t="shared" si="34"/>
        <v>8290685.3096390413</v>
      </c>
      <c r="Q56" s="35">
        <f t="shared" si="35"/>
        <v>5245003.6800000016</v>
      </c>
      <c r="R56" s="35">
        <f t="shared" si="36"/>
        <v>3177134.0900000003</v>
      </c>
      <c r="S56" s="35">
        <f t="shared" si="37"/>
        <v>0</v>
      </c>
      <c r="T56" s="35">
        <f t="shared" si="38"/>
        <v>8422137.7700000014</v>
      </c>
      <c r="U56" s="34">
        <f t="shared" si="39"/>
        <v>0.21832358674463959</v>
      </c>
      <c r="V56" s="232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232"/>
      <c r="AJ56" s="233"/>
      <c r="AL56" s="161">
        <f t="shared" si="17"/>
        <v>2023</v>
      </c>
      <c r="AM56" s="227">
        <v>45078</v>
      </c>
      <c r="AN56" s="477">
        <v>56835660.57</v>
      </c>
      <c r="AO56" s="131">
        <f t="shared" si="18"/>
        <v>10184950.374143999</v>
      </c>
      <c r="AP56" s="131">
        <v>6670578.9558333345</v>
      </c>
      <c r="AQ56" s="131">
        <v>14303253.144999998</v>
      </c>
      <c r="AR56" s="131">
        <v>888119.6925</v>
      </c>
      <c r="AS56" s="131">
        <f t="shared" si="19"/>
        <v>21861951.793333333</v>
      </c>
      <c r="AT56" s="134">
        <f t="shared" si="40"/>
        <v>0.21832358674463936</v>
      </c>
    </row>
    <row r="57" spans="3:46">
      <c r="C57" s="161">
        <f t="shared" si="7"/>
        <v>2020</v>
      </c>
      <c r="D57" s="35" t="s">
        <v>260</v>
      </c>
      <c r="E57" s="227">
        <v>43952</v>
      </c>
      <c r="F57" s="156">
        <v>257861.45</v>
      </c>
      <c r="G57" s="131">
        <f t="shared" si="8"/>
        <v>46208.771840000001</v>
      </c>
      <c r="H57" s="156">
        <v>4298.6400000000003</v>
      </c>
      <c r="I57" s="156">
        <v>0</v>
      </c>
      <c r="J57" s="156">
        <v>0</v>
      </c>
      <c r="K57" s="131">
        <f t="shared" si="9"/>
        <v>4298.6400000000003</v>
      </c>
      <c r="L57" s="134">
        <v>0.1792</v>
      </c>
      <c r="N57" s="227">
        <v>43952</v>
      </c>
      <c r="O57" s="35">
        <f t="shared" si="33"/>
        <v>43556962.900000006</v>
      </c>
      <c r="P57" s="35">
        <f t="shared" si="34"/>
        <v>7805407.7516800007</v>
      </c>
      <c r="Q57" s="35">
        <f t="shared" si="35"/>
        <v>5842468.4000000004</v>
      </c>
      <c r="R57" s="35">
        <f t="shared" si="36"/>
        <v>3076736.4499999997</v>
      </c>
      <c r="S57" s="35">
        <f t="shared" si="37"/>
        <v>19519.919999999998</v>
      </c>
      <c r="T57" s="35">
        <f t="shared" si="38"/>
        <v>8938724.7699999996</v>
      </c>
      <c r="U57" s="34">
        <f t="shared" si="39"/>
        <v>0.21832358674463936</v>
      </c>
      <c r="V57" s="232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232"/>
      <c r="AJ57" s="233"/>
      <c r="AL57" s="161">
        <f t="shared" si="17"/>
        <v>2023</v>
      </c>
      <c r="AM57" s="227">
        <v>45108</v>
      </c>
      <c r="AN57" s="477">
        <v>57781181.499999985</v>
      </c>
      <c r="AO57" s="131">
        <f t="shared" si="18"/>
        <v>10354387.724799998</v>
      </c>
      <c r="AP57" s="131">
        <v>6670578.9558333345</v>
      </c>
      <c r="AQ57" s="131">
        <v>14303253.144999998</v>
      </c>
      <c r="AR57" s="131">
        <v>888119.6925</v>
      </c>
      <c r="AS57" s="131">
        <f t="shared" si="19"/>
        <v>21861951.793333333</v>
      </c>
      <c r="AT57" s="134">
        <f t="shared" si="40"/>
        <v>0.21832358674463936</v>
      </c>
    </row>
    <row r="58" spans="3:46">
      <c r="C58" s="161">
        <f t="shared" si="7"/>
        <v>2020</v>
      </c>
      <c r="D58" s="35" t="s">
        <v>260</v>
      </c>
      <c r="E58" s="227">
        <v>43983</v>
      </c>
      <c r="F58" s="156">
        <v>259616.84</v>
      </c>
      <c r="G58" s="131">
        <f t="shared" si="8"/>
        <v>46523.337727999999</v>
      </c>
      <c r="H58" s="156">
        <v>1297.17</v>
      </c>
      <c r="I58" s="156">
        <v>0</v>
      </c>
      <c r="J58" s="156">
        <v>0</v>
      </c>
      <c r="K58" s="131">
        <f t="shared" si="9"/>
        <v>1297.17</v>
      </c>
      <c r="L58" s="134">
        <v>0.1792</v>
      </c>
      <c r="N58" s="227">
        <v>43983</v>
      </c>
      <c r="O58" s="35">
        <f t="shared" si="33"/>
        <v>42384724.030000001</v>
      </c>
      <c r="P58" s="35">
        <f t="shared" si="34"/>
        <v>7595342.5461759996</v>
      </c>
      <c r="Q58" s="35">
        <f t="shared" si="35"/>
        <v>6593105.370000002</v>
      </c>
      <c r="R58" s="35">
        <f t="shared" si="36"/>
        <v>3539696.4499999997</v>
      </c>
      <c r="S58" s="35">
        <f t="shared" si="37"/>
        <v>11650</v>
      </c>
      <c r="T58" s="35">
        <f t="shared" si="38"/>
        <v>10144451.820000002</v>
      </c>
      <c r="U58" s="34">
        <f t="shared" si="39"/>
        <v>0.21832358674463936</v>
      </c>
      <c r="V58" s="232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232"/>
      <c r="AJ58" s="233"/>
      <c r="AL58" s="161">
        <f t="shared" si="17"/>
        <v>2023</v>
      </c>
      <c r="AM58" s="227">
        <v>45139</v>
      </c>
      <c r="AN58" s="477">
        <v>64194331.430000015</v>
      </c>
      <c r="AO58" s="131">
        <f t="shared" si="18"/>
        <v>11503624.192256002</v>
      </c>
      <c r="AP58" s="131">
        <v>6670578.9558333345</v>
      </c>
      <c r="AQ58" s="131">
        <v>14303253.144999998</v>
      </c>
      <c r="AR58" s="131">
        <v>888119.6925</v>
      </c>
      <c r="AS58" s="131">
        <f t="shared" si="19"/>
        <v>21861951.793333333</v>
      </c>
      <c r="AT58" s="134">
        <f t="shared" si="40"/>
        <v>0.21832358674463936</v>
      </c>
    </row>
    <row r="59" spans="3:46">
      <c r="C59" s="161">
        <f t="shared" si="7"/>
        <v>2020</v>
      </c>
      <c r="D59" s="35" t="s">
        <v>260</v>
      </c>
      <c r="E59" s="227">
        <v>44013</v>
      </c>
      <c r="F59" s="156">
        <v>255142.24</v>
      </c>
      <c r="G59" s="131">
        <f t="shared" si="8"/>
        <v>45721.489408000001</v>
      </c>
      <c r="H59" s="156">
        <v>8754.92</v>
      </c>
      <c r="I59" s="156">
        <v>0</v>
      </c>
      <c r="J59" s="156">
        <v>0</v>
      </c>
      <c r="K59" s="131">
        <f t="shared" si="9"/>
        <v>8754.92</v>
      </c>
      <c r="L59" s="134">
        <v>0.1792</v>
      </c>
      <c r="N59" s="227">
        <v>44013</v>
      </c>
      <c r="O59" s="35">
        <f t="shared" si="33"/>
        <v>42541471.890000008</v>
      </c>
      <c r="P59" s="35">
        <f t="shared" si="34"/>
        <v>7623431.7626879979</v>
      </c>
      <c r="Q59" s="35">
        <f t="shared" si="35"/>
        <v>6143806.2399999984</v>
      </c>
      <c r="R59" s="35">
        <f t="shared" si="36"/>
        <v>7000858.4400000013</v>
      </c>
      <c r="S59" s="35">
        <f t="shared" si="37"/>
        <v>10205.560000000001</v>
      </c>
      <c r="T59" s="35">
        <f t="shared" si="38"/>
        <v>13154870.24</v>
      </c>
      <c r="U59" s="34">
        <f t="shared" si="39"/>
        <v>0.21832358674463914</v>
      </c>
      <c r="V59" s="232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  <c r="AG59" s="119"/>
      <c r="AH59" s="119"/>
      <c r="AI59" s="232"/>
      <c r="AJ59" s="233"/>
      <c r="AL59" s="161">
        <f t="shared" si="17"/>
        <v>2023</v>
      </c>
      <c r="AM59" s="227">
        <v>45170</v>
      </c>
      <c r="AN59" s="477">
        <v>65027284.990000002</v>
      </c>
      <c r="AO59" s="131">
        <f t="shared" si="18"/>
        <v>11652889.470208</v>
      </c>
      <c r="AP59" s="131">
        <v>6670578.9558333345</v>
      </c>
      <c r="AQ59" s="131">
        <v>14303253.144999998</v>
      </c>
      <c r="AR59" s="131">
        <v>888119.6925</v>
      </c>
      <c r="AS59" s="131">
        <f t="shared" si="19"/>
        <v>21861951.793333333</v>
      </c>
      <c r="AT59" s="134">
        <f t="shared" si="40"/>
        <v>0.21832358674463936</v>
      </c>
    </row>
    <row r="60" spans="3:46">
      <c r="C60" s="161">
        <f t="shared" si="7"/>
        <v>2020</v>
      </c>
      <c r="D60" s="35" t="s">
        <v>260</v>
      </c>
      <c r="E60" s="227">
        <v>44044</v>
      </c>
      <c r="F60" s="156">
        <v>280304.8</v>
      </c>
      <c r="G60" s="131">
        <f t="shared" si="8"/>
        <v>50230.620159999999</v>
      </c>
      <c r="H60" s="156">
        <v>59973.93</v>
      </c>
      <c r="I60" s="156">
        <v>0</v>
      </c>
      <c r="J60" s="156">
        <v>0</v>
      </c>
      <c r="K60" s="131">
        <f t="shared" si="9"/>
        <v>59973.93</v>
      </c>
      <c r="L60" s="134">
        <v>0.1792</v>
      </c>
      <c r="N60" s="227">
        <v>44044</v>
      </c>
      <c r="O60" s="35">
        <f t="shared" si="33"/>
        <v>46107047.470000006</v>
      </c>
      <c r="P60" s="35">
        <f t="shared" si="34"/>
        <v>8262382.9066240015</v>
      </c>
      <c r="Q60" s="35">
        <f t="shared" si="35"/>
        <v>3848926.5600000015</v>
      </c>
      <c r="R60" s="35">
        <f t="shared" si="36"/>
        <v>8646503.4100000001</v>
      </c>
      <c r="S60" s="35">
        <f t="shared" si="37"/>
        <v>15302.820000000002</v>
      </c>
      <c r="T60" s="35">
        <f t="shared" si="38"/>
        <v>12510732.790000003</v>
      </c>
      <c r="U60" s="34">
        <f t="shared" si="39"/>
        <v>0.21832358674463959</v>
      </c>
      <c r="V60" s="232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  <c r="AG60" s="119"/>
      <c r="AH60" s="119"/>
      <c r="AI60" s="232"/>
      <c r="AJ60" s="233"/>
      <c r="AL60" s="161">
        <f t="shared" si="17"/>
        <v>2023</v>
      </c>
      <c r="AM60" s="227">
        <v>45200</v>
      </c>
      <c r="AN60" s="477">
        <v>70054444.680000022</v>
      </c>
      <c r="AO60" s="131">
        <f t="shared" si="18"/>
        <v>12553756.486656005</v>
      </c>
      <c r="AP60" s="131">
        <v>6670578.9558333345</v>
      </c>
      <c r="AQ60" s="131">
        <v>14303253.144999998</v>
      </c>
      <c r="AR60" s="131">
        <v>888119.6925</v>
      </c>
      <c r="AS60" s="131">
        <f t="shared" si="19"/>
        <v>21861951.793333333</v>
      </c>
      <c r="AT60" s="134">
        <f t="shared" si="40"/>
        <v>0.21832358674463936</v>
      </c>
    </row>
    <row r="61" spans="3:46">
      <c r="C61" s="161">
        <f t="shared" si="7"/>
        <v>2020</v>
      </c>
      <c r="D61" s="35" t="s">
        <v>260</v>
      </c>
      <c r="E61" s="227">
        <v>44075</v>
      </c>
      <c r="F61" s="156">
        <v>312494.89</v>
      </c>
      <c r="G61" s="131">
        <f t="shared" si="8"/>
        <v>55999.084288000005</v>
      </c>
      <c r="H61" s="156">
        <v>437339.85</v>
      </c>
      <c r="I61" s="156">
        <v>0</v>
      </c>
      <c r="J61" s="156">
        <v>0</v>
      </c>
      <c r="K61" s="131">
        <f t="shared" si="9"/>
        <v>437339.85</v>
      </c>
      <c r="L61" s="134">
        <v>0.1792</v>
      </c>
      <c r="N61" s="227">
        <v>44075</v>
      </c>
      <c r="O61" s="35">
        <f t="shared" si="33"/>
        <v>49457768.670000009</v>
      </c>
      <c r="P61" s="35">
        <f t="shared" si="34"/>
        <v>8862832.1456640009</v>
      </c>
      <c r="Q61" s="35">
        <f t="shared" si="35"/>
        <v>4774168.7500000019</v>
      </c>
      <c r="R61" s="35">
        <f t="shared" si="36"/>
        <v>8320153.7999999989</v>
      </c>
      <c r="S61" s="35">
        <f t="shared" si="37"/>
        <v>42040.37</v>
      </c>
      <c r="T61" s="35">
        <f t="shared" si="38"/>
        <v>13136362.92</v>
      </c>
      <c r="U61" s="34">
        <f t="shared" si="39"/>
        <v>0.21832358674463936</v>
      </c>
      <c r="V61" s="232"/>
      <c r="W61" s="119"/>
      <c r="X61" s="119"/>
      <c r="Y61" s="119"/>
      <c r="Z61" s="119"/>
      <c r="AA61" s="119"/>
      <c r="AB61" s="119"/>
      <c r="AC61" s="119"/>
      <c r="AD61" s="119"/>
      <c r="AE61" s="119"/>
      <c r="AF61" s="119"/>
      <c r="AG61" s="119"/>
      <c r="AH61" s="119"/>
      <c r="AI61" s="232"/>
      <c r="AJ61" s="233"/>
      <c r="AL61" s="161">
        <f t="shared" si="17"/>
        <v>2023</v>
      </c>
      <c r="AM61" s="227">
        <v>45231</v>
      </c>
      <c r="AN61" s="477">
        <v>70154326.650000006</v>
      </c>
      <c r="AO61" s="131">
        <f t="shared" si="18"/>
        <v>12571655.33568</v>
      </c>
      <c r="AP61" s="131">
        <v>6670578.9558333345</v>
      </c>
      <c r="AQ61" s="131">
        <v>14303253.144999998</v>
      </c>
      <c r="AR61" s="131">
        <v>888119.6925</v>
      </c>
      <c r="AS61" s="131">
        <f t="shared" si="19"/>
        <v>21861951.793333333</v>
      </c>
      <c r="AT61" s="134">
        <f t="shared" si="40"/>
        <v>0.21832358674463936</v>
      </c>
    </row>
    <row r="62" spans="3:46">
      <c r="C62" s="161">
        <f t="shared" si="7"/>
        <v>2020</v>
      </c>
      <c r="D62" s="35" t="s">
        <v>260</v>
      </c>
      <c r="E62" s="227">
        <v>44105</v>
      </c>
      <c r="F62" s="156">
        <v>332115.69</v>
      </c>
      <c r="G62" s="131">
        <f t="shared" si="8"/>
        <v>59515.131648000002</v>
      </c>
      <c r="H62" s="156">
        <v>393319.72</v>
      </c>
      <c r="I62" s="156">
        <v>0</v>
      </c>
      <c r="J62" s="156">
        <v>23410</v>
      </c>
      <c r="K62" s="131">
        <f t="shared" si="9"/>
        <v>416729.72</v>
      </c>
      <c r="L62" s="134">
        <v>0.1792</v>
      </c>
      <c r="N62" s="227">
        <v>44105</v>
      </c>
      <c r="O62" s="35">
        <f t="shared" si="33"/>
        <v>52868821.429999992</v>
      </c>
      <c r="P62" s="35">
        <f t="shared" si="34"/>
        <v>9474092.8002559971</v>
      </c>
      <c r="Q62" s="35">
        <f t="shared" si="35"/>
        <v>7504699.8200000003</v>
      </c>
      <c r="R62" s="35">
        <f t="shared" si="36"/>
        <v>10981537.610000001</v>
      </c>
      <c r="S62" s="35">
        <f t="shared" si="37"/>
        <v>474580.56</v>
      </c>
      <c r="T62" s="35">
        <f t="shared" si="38"/>
        <v>18960817.989999998</v>
      </c>
      <c r="U62" s="34">
        <f t="shared" si="39"/>
        <v>0.21832358674463936</v>
      </c>
      <c r="V62" s="232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  <c r="AG62" s="119"/>
      <c r="AH62" s="119"/>
      <c r="AI62" s="232"/>
      <c r="AJ62" s="233"/>
      <c r="AL62" s="161">
        <f t="shared" si="17"/>
        <v>2023</v>
      </c>
      <c r="AM62" s="227">
        <v>45261</v>
      </c>
      <c r="AN62" s="477">
        <v>67576125.000000015</v>
      </c>
      <c r="AO62" s="131">
        <f t="shared" si="18"/>
        <v>12109641.600000003</v>
      </c>
      <c r="AP62" s="131">
        <v>6670578.9558333345</v>
      </c>
      <c r="AQ62" s="131">
        <v>14303253.144999998</v>
      </c>
      <c r="AR62" s="131">
        <v>888119.6925</v>
      </c>
      <c r="AS62" s="131">
        <f t="shared" si="19"/>
        <v>21861951.793333333</v>
      </c>
      <c r="AT62" s="134">
        <f t="shared" si="40"/>
        <v>0.21832358674463936</v>
      </c>
    </row>
    <row r="63" spans="3:46">
      <c r="C63" s="161">
        <f t="shared" si="7"/>
        <v>2020</v>
      </c>
      <c r="D63" s="35" t="s">
        <v>260</v>
      </c>
      <c r="E63" s="227">
        <v>44136</v>
      </c>
      <c r="F63" s="156">
        <v>297002.89</v>
      </c>
      <c r="G63" s="131">
        <f t="shared" si="8"/>
        <v>53222.917888000004</v>
      </c>
      <c r="H63" s="156">
        <v>243309.48</v>
      </c>
      <c r="I63" s="156">
        <v>0</v>
      </c>
      <c r="J63" s="156">
        <v>0</v>
      </c>
      <c r="K63" s="131">
        <f t="shared" si="9"/>
        <v>243309.48</v>
      </c>
      <c r="L63" s="134">
        <v>0.1792</v>
      </c>
      <c r="N63" s="227">
        <v>44136</v>
      </c>
      <c r="O63" s="35">
        <f t="shared" si="33"/>
        <v>47824275.469999991</v>
      </c>
      <c r="P63" s="35">
        <f t="shared" si="34"/>
        <v>8570110.1642239969</v>
      </c>
      <c r="Q63" s="35">
        <f t="shared" si="35"/>
        <v>2323668.7799999993</v>
      </c>
      <c r="R63" s="35">
        <f t="shared" si="36"/>
        <v>6626478.2399999974</v>
      </c>
      <c r="S63" s="35">
        <f t="shared" si="37"/>
        <v>14526.28</v>
      </c>
      <c r="T63" s="35">
        <f t="shared" si="38"/>
        <v>8964673.2999999952</v>
      </c>
      <c r="U63" s="34">
        <f t="shared" si="39"/>
        <v>0.21832358674463936</v>
      </c>
      <c r="V63" s="232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232"/>
      <c r="AJ63" s="233"/>
      <c r="AL63" s="161">
        <f t="shared" si="17"/>
        <v>2024</v>
      </c>
      <c r="AM63" s="227">
        <v>45292</v>
      </c>
      <c r="AN63" s="131">
        <f>AN51*1.08</f>
        <v>65884636.699199982</v>
      </c>
      <c r="AO63" s="131">
        <f t="shared" si="18"/>
        <v>11806526.896496637</v>
      </c>
      <c r="AP63" s="131">
        <f>AVERAGE(AP3,AP15,AP27,AP39,AP51)</f>
        <v>5546837.7115000002</v>
      </c>
      <c r="AQ63" s="131">
        <f t="shared" ref="AQ63:AR63" si="41">AVERAGE(AQ3,AQ15,AQ27,AQ39,AQ51)</f>
        <v>8938269.8163333312</v>
      </c>
      <c r="AR63" s="131">
        <f t="shared" si="41"/>
        <v>896862.03733333352</v>
      </c>
      <c r="AS63" s="131">
        <f t="shared" si="19"/>
        <v>15381969.565166665</v>
      </c>
      <c r="AT63" s="134">
        <f t="shared" si="40"/>
        <v>0.21832358674463936</v>
      </c>
    </row>
    <row r="64" spans="3:46">
      <c r="C64" s="161">
        <f t="shared" si="7"/>
        <v>2020</v>
      </c>
      <c r="D64" s="35" t="s">
        <v>260</v>
      </c>
      <c r="E64" s="227">
        <v>44166</v>
      </c>
      <c r="F64" s="156">
        <v>314763.68</v>
      </c>
      <c r="G64" s="131">
        <f t="shared" si="8"/>
        <v>56405.651456</v>
      </c>
      <c r="H64" s="156">
        <v>125800.94</v>
      </c>
      <c r="I64" s="156">
        <v>0</v>
      </c>
      <c r="J64" s="156">
        <v>0</v>
      </c>
      <c r="K64" s="131">
        <f t="shared" si="9"/>
        <v>125800.94</v>
      </c>
      <c r="L64" s="134">
        <v>0.1792</v>
      </c>
      <c r="N64" s="227">
        <v>44166</v>
      </c>
      <c r="O64" s="35">
        <f t="shared" si="33"/>
        <v>49525577.020000003</v>
      </c>
      <c r="P64" s="35">
        <f t="shared" si="34"/>
        <v>8874983.4019840006</v>
      </c>
      <c r="Q64" s="35">
        <f t="shared" si="35"/>
        <v>3011386.2300000009</v>
      </c>
      <c r="R64" s="35">
        <f t="shared" si="36"/>
        <v>5631430.1499999985</v>
      </c>
      <c r="S64" s="35">
        <f t="shared" si="37"/>
        <v>108659.60999999999</v>
      </c>
      <c r="T64" s="35">
        <f t="shared" si="38"/>
        <v>8751475.9899999984</v>
      </c>
      <c r="U64" s="34">
        <f t="shared" si="39"/>
        <v>0.21832358674463936</v>
      </c>
      <c r="V64" s="232"/>
      <c r="W64" s="119"/>
      <c r="X64" s="119"/>
      <c r="Y64" s="119"/>
      <c r="Z64" s="119"/>
      <c r="AA64" s="119"/>
      <c r="AB64" s="119"/>
      <c r="AC64" s="119"/>
      <c r="AD64" s="119"/>
      <c r="AE64" s="119"/>
      <c r="AF64" s="119"/>
      <c r="AG64" s="119"/>
      <c r="AH64" s="119"/>
      <c r="AI64" s="232"/>
      <c r="AJ64" s="233"/>
      <c r="AL64" s="161">
        <f t="shared" si="17"/>
        <v>2024</v>
      </c>
      <c r="AM64" s="227">
        <v>45323</v>
      </c>
      <c r="AN64" s="131">
        <f t="shared" ref="AN64:AN74" si="42">AN52*1.08</f>
        <v>62603015.086799994</v>
      </c>
      <c r="AO64" s="131">
        <f t="shared" si="18"/>
        <v>11218460.303554559</v>
      </c>
      <c r="AP64" s="131">
        <f>AP63</f>
        <v>5546837.7115000002</v>
      </c>
      <c r="AQ64" s="131">
        <f t="shared" ref="AQ64:AR64" si="43">AQ63</f>
        <v>8938269.8163333312</v>
      </c>
      <c r="AR64" s="131">
        <f t="shared" si="43"/>
        <v>896862.03733333352</v>
      </c>
      <c r="AS64" s="131">
        <f t="shared" si="19"/>
        <v>15381969.565166665</v>
      </c>
      <c r="AT64" s="134">
        <f t="shared" si="40"/>
        <v>0.21832358674463936</v>
      </c>
    </row>
    <row r="65" spans="3:46">
      <c r="C65" s="161">
        <f t="shared" si="7"/>
        <v>2021</v>
      </c>
      <c r="D65" s="35" t="s">
        <v>260</v>
      </c>
      <c r="E65" s="227">
        <v>44197</v>
      </c>
      <c r="F65" s="156">
        <v>306892</v>
      </c>
      <c r="G65" s="131">
        <f t="shared" si="8"/>
        <v>54995.046399999999</v>
      </c>
      <c r="H65" s="156">
        <v>11123.95</v>
      </c>
      <c r="I65" s="156">
        <v>0</v>
      </c>
      <c r="J65" s="156">
        <v>0</v>
      </c>
      <c r="K65" s="131">
        <f t="shared" si="9"/>
        <v>11123.95</v>
      </c>
      <c r="L65" s="134">
        <v>0.1792</v>
      </c>
      <c r="N65" s="227">
        <v>44197</v>
      </c>
      <c r="O65" s="35">
        <f t="shared" si="33"/>
        <v>49887432.170000017</v>
      </c>
      <c r="P65" s="35">
        <f t="shared" si="34"/>
        <v>8939827.8448639996</v>
      </c>
      <c r="Q65" s="35">
        <f t="shared" si="35"/>
        <v>1971875.92</v>
      </c>
      <c r="R65" s="35">
        <f t="shared" si="36"/>
        <v>3167650.47</v>
      </c>
      <c r="S65" s="35">
        <f t="shared" si="37"/>
        <v>38128.21</v>
      </c>
      <c r="T65" s="35">
        <f t="shared" si="38"/>
        <v>5177654.6000000006</v>
      </c>
      <c r="U65" s="34">
        <f t="shared" si="39"/>
        <v>0.21832358674463914</v>
      </c>
      <c r="V65" s="232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232"/>
      <c r="AJ65" s="233"/>
      <c r="AL65" s="161">
        <f t="shared" si="17"/>
        <v>2024</v>
      </c>
      <c r="AM65" s="227">
        <v>45352</v>
      </c>
      <c r="AN65" s="131">
        <f t="shared" si="42"/>
        <v>56937850.840800002</v>
      </c>
      <c r="AO65" s="131">
        <f t="shared" si="18"/>
        <v>10203262.87067136</v>
      </c>
      <c r="AP65" s="131">
        <f t="shared" ref="AP65:AP74" si="44">AP64</f>
        <v>5546837.7115000002</v>
      </c>
      <c r="AQ65" s="131">
        <f t="shared" ref="AQ65:AQ74" si="45">AQ64</f>
        <v>8938269.8163333312</v>
      </c>
      <c r="AR65" s="131">
        <f t="shared" ref="AR65:AR74" si="46">AR64</f>
        <v>896862.03733333352</v>
      </c>
      <c r="AS65" s="131">
        <f t="shared" si="19"/>
        <v>15381969.565166665</v>
      </c>
      <c r="AT65" s="134">
        <f t="shared" si="40"/>
        <v>0.21832358674463936</v>
      </c>
    </row>
    <row r="66" spans="3:46">
      <c r="C66" s="161">
        <f t="shared" si="7"/>
        <v>2021</v>
      </c>
      <c r="D66" s="35" t="s">
        <v>260</v>
      </c>
      <c r="E66" s="227">
        <v>44229</v>
      </c>
      <c r="F66" s="156">
        <v>304642.99</v>
      </c>
      <c r="G66" s="131">
        <f t="shared" si="8"/>
        <v>54592.023807999998</v>
      </c>
      <c r="H66" s="156">
        <v>120952.89</v>
      </c>
      <c r="I66" s="156">
        <v>0</v>
      </c>
      <c r="J66" s="156">
        <v>0</v>
      </c>
      <c r="K66" s="131">
        <f t="shared" si="9"/>
        <v>120952.89</v>
      </c>
      <c r="L66" s="134">
        <v>0.1792</v>
      </c>
      <c r="N66" s="227">
        <v>44229</v>
      </c>
      <c r="O66" s="35">
        <f t="shared" si="33"/>
        <v>47295618.319999993</v>
      </c>
      <c r="P66" s="35">
        <f t="shared" si="34"/>
        <v>8475374.8029439989</v>
      </c>
      <c r="Q66" s="35">
        <f t="shared" si="35"/>
        <v>1585389.3999999997</v>
      </c>
      <c r="R66" s="35">
        <f t="shared" si="36"/>
        <v>3235009.39</v>
      </c>
      <c r="S66" s="35">
        <f t="shared" si="37"/>
        <v>4531.41</v>
      </c>
      <c r="T66" s="35">
        <f t="shared" si="38"/>
        <v>4824930.2</v>
      </c>
      <c r="U66" s="34">
        <f t="shared" si="39"/>
        <v>0.21832358674463936</v>
      </c>
      <c r="V66" s="232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19"/>
      <c r="AI66" s="232"/>
      <c r="AJ66" s="233"/>
      <c r="AL66" s="161">
        <f t="shared" si="17"/>
        <v>2024</v>
      </c>
      <c r="AM66" s="227">
        <v>45383</v>
      </c>
      <c r="AN66" s="131">
        <f t="shared" si="42"/>
        <v>65069312.7852</v>
      </c>
      <c r="AO66" s="131">
        <f t="shared" si="18"/>
        <v>11660420.851107839</v>
      </c>
      <c r="AP66" s="131">
        <f t="shared" si="44"/>
        <v>5546837.7115000002</v>
      </c>
      <c r="AQ66" s="131">
        <f t="shared" si="45"/>
        <v>8938269.8163333312</v>
      </c>
      <c r="AR66" s="131">
        <f t="shared" si="46"/>
        <v>896862.03733333352</v>
      </c>
      <c r="AS66" s="131">
        <f t="shared" ref="AS66:AS70" si="47">SUM(AP66:AR66)</f>
        <v>15381969.565166665</v>
      </c>
      <c r="AT66" s="134">
        <f t="shared" ref="AT66:AT70" si="48">(AN66)/(AN66-AO66)-1</f>
        <v>0.21832358674463936</v>
      </c>
    </row>
    <row r="67" spans="3:46">
      <c r="C67" s="161">
        <f t="shared" si="7"/>
        <v>2021</v>
      </c>
      <c r="D67" s="35" t="s">
        <v>260</v>
      </c>
      <c r="E67" s="227">
        <v>44258</v>
      </c>
      <c r="F67" s="156">
        <v>262762.38</v>
      </c>
      <c r="G67" s="131">
        <f t="shared" si="8"/>
        <v>47087.018495999997</v>
      </c>
      <c r="H67" s="156">
        <v>131490.18</v>
      </c>
      <c r="I67" s="156">
        <v>3000</v>
      </c>
      <c r="J67" s="156">
        <v>0</v>
      </c>
      <c r="K67" s="131">
        <f t="shared" si="9"/>
        <v>134490.18</v>
      </c>
      <c r="L67" s="134">
        <v>0.1792</v>
      </c>
      <c r="N67" s="227">
        <v>44258</v>
      </c>
      <c r="O67" s="35">
        <f t="shared" si="33"/>
        <v>45255185.389999993</v>
      </c>
      <c r="P67" s="35">
        <f t="shared" si="34"/>
        <v>8109729.2218880011</v>
      </c>
      <c r="Q67" s="35">
        <f t="shared" si="35"/>
        <v>5205061.54</v>
      </c>
      <c r="R67" s="35">
        <f t="shared" si="36"/>
        <v>4471140.0500000007</v>
      </c>
      <c r="S67" s="35">
        <f t="shared" si="37"/>
        <v>12072.769999999999</v>
      </c>
      <c r="T67" s="35">
        <f t="shared" ref="T67:T70" si="49">SUM(Q67:S67)</f>
        <v>9688274.3599999994</v>
      </c>
      <c r="U67" s="34">
        <f t="shared" si="39"/>
        <v>0.21832358674463936</v>
      </c>
      <c r="V67" s="232"/>
      <c r="W67" s="119"/>
      <c r="X67" s="119"/>
      <c r="Y67" s="119"/>
      <c r="Z67" s="119"/>
      <c r="AA67" s="119"/>
      <c r="AB67" s="119"/>
      <c r="AC67" s="119"/>
      <c r="AD67" s="119"/>
      <c r="AE67" s="119"/>
      <c r="AF67" s="119"/>
      <c r="AG67" s="119"/>
      <c r="AH67" s="119"/>
      <c r="AI67" s="232"/>
      <c r="AJ67" s="233"/>
      <c r="AL67" s="161">
        <f t="shared" si="17"/>
        <v>2024</v>
      </c>
      <c r="AM67" s="227">
        <v>45413</v>
      </c>
      <c r="AN67" s="131">
        <f t="shared" si="42"/>
        <v>59759573.698800005</v>
      </c>
      <c r="AO67" s="131">
        <f t="shared" si="18"/>
        <v>10708915.606824961</v>
      </c>
      <c r="AP67" s="131">
        <f t="shared" si="44"/>
        <v>5546837.7115000002</v>
      </c>
      <c r="AQ67" s="131">
        <f t="shared" si="45"/>
        <v>8938269.8163333312</v>
      </c>
      <c r="AR67" s="131">
        <f t="shared" si="46"/>
        <v>896862.03733333352</v>
      </c>
      <c r="AS67" s="131">
        <f t="shared" si="47"/>
        <v>15381969.565166665</v>
      </c>
      <c r="AT67" s="134">
        <f t="shared" si="48"/>
        <v>0.21832358674463936</v>
      </c>
    </row>
    <row r="68" spans="3:46">
      <c r="C68" s="161">
        <f t="shared" ref="C68:C131" si="50">YEAR(E68)</f>
        <v>2021</v>
      </c>
      <c r="D68" s="35" t="s">
        <v>260</v>
      </c>
      <c r="E68" s="227">
        <v>44290</v>
      </c>
      <c r="F68" s="156">
        <v>319574.37</v>
      </c>
      <c r="G68" s="131">
        <f t="shared" ref="G68:G131" si="51">F68*L68</f>
        <v>57267.727103999998</v>
      </c>
      <c r="H68" s="156">
        <v>4831.6899999999996</v>
      </c>
      <c r="I68" s="156">
        <v>54050</v>
      </c>
      <c r="J68" s="156">
        <v>0</v>
      </c>
      <c r="K68" s="131">
        <f t="shared" ref="K68:K131" si="52">SUM(H68:J68)</f>
        <v>58881.69</v>
      </c>
      <c r="L68" s="134">
        <v>0.1792</v>
      </c>
      <c r="N68" s="227">
        <v>44290</v>
      </c>
      <c r="O68" s="35">
        <f t="shared" si="33"/>
        <v>50684455.789999977</v>
      </c>
      <c r="P68" s="35">
        <f t="shared" si="34"/>
        <v>9082654.4775679968</v>
      </c>
      <c r="Q68" s="35">
        <f t="shared" si="35"/>
        <v>1668674.02</v>
      </c>
      <c r="R68" s="35">
        <f t="shared" si="36"/>
        <v>4447482.37</v>
      </c>
      <c r="S68" s="35">
        <f t="shared" si="37"/>
        <v>40623.74</v>
      </c>
      <c r="T68" s="35">
        <f t="shared" si="49"/>
        <v>6156780.1300000008</v>
      </c>
      <c r="U68" s="34">
        <f t="shared" si="39"/>
        <v>0.21832358674463959</v>
      </c>
      <c r="V68" s="232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  <c r="AI68" s="232"/>
      <c r="AJ68" s="233"/>
      <c r="AL68" s="161">
        <f t="shared" ref="AL68:AL74" si="53">YEAR(AM68)</f>
        <v>2024</v>
      </c>
      <c r="AM68" s="227">
        <v>45444</v>
      </c>
      <c r="AN68" s="131">
        <f t="shared" si="42"/>
        <v>61382513.415600002</v>
      </c>
      <c r="AO68" s="131">
        <f t="shared" ref="AO68:AO74" si="54">AN68*0.1792</f>
        <v>10999746.40407552</v>
      </c>
      <c r="AP68" s="131">
        <f t="shared" si="44"/>
        <v>5546837.7115000002</v>
      </c>
      <c r="AQ68" s="131">
        <f t="shared" si="45"/>
        <v>8938269.8163333312</v>
      </c>
      <c r="AR68" s="131">
        <f t="shared" si="46"/>
        <v>896862.03733333352</v>
      </c>
      <c r="AS68" s="131">
        <f t="shared" si="47"/>
        <v>15381969.565166665</v>
      </c>
      <c r="AT68" s="134">
        <f t="shared" si="48"/>
        <v>0.21832358674463936</v>
      </c>
    </row>
    <row r="69" spans="3:46">
      <c r="C69" s="161">
        <f t="shared" si="50"/>
        <v>2021</v>
      </c>
      <c r="D69" s="35" t="s">
        <v>260</v>
      </c>
      <c r="E69" s="227">
        <v>44321</v>
      </c>
      <c r="F69" s="156">
        <v>285969.53000000003</v>
      </c>
      <c r="G69" s="131">
        <f t="shared" si="51"/>
        <v>51245.739776000002</v>
      </c>
      <c r="H69" s="156">
        <v>223156.26</v>
      </c>
      <c r="I69" s="156">
        <v>0</v>
      </c>
      <c r="J69" s="156">
        <v>0</v>
      </c>
      <c r="K69" s="131">
        <f t="shared" si="52"/>
        <v>223156.26</v>
      </c>
      <c r="L69" s="134">
        <v>0.1792</v>
      </c>
      <c r="N69" s="227">
        <v>44321</v>
      </c>
      <c r="O69" s="35">
        <f t="shared" si="33"/>
        <v>46889222.739999995</v>
      </c>
      <c r="P69" s="35">
        <f t="shared" si="34"/>
        <v>8402548.7150079999</v>
      </c>
      <c r="Q69" s="35">
        <f t="shared" si="35"/>
        <v>3058250.9899999993</v>
      </c>
      <c r="R69" s="35">
        <f t="shared" si="36"/>
        <v>3116664.08</v>
      </c>
      <c r="S69" s="35">
        <f t="shared" si="37"/>
        <v>205786.44000000003</v>
      </c>
      <c r="T69" s="35">
        <f t="shared" si="49"/>
        <v>6380701.5099999998</v>
      </c>
      <c r="U69" s="34">
        <f t="shared" si="39"/>
        <v>0.21832358674463936</v>
      </c>
      <c r="V69" s="232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232"/>
      <c r="AJ69" s="233"/>
      <c r="AL69" s="161">
        <f t="shared" si="53"/>
        <v>2024</v>
      </c>
      <c r="AM69" s="227">
        <v>45474</v>
      </c>
      <c r="AN69" s="131">
        <f t="shared" si="42"/>
        <v>62403676.019999988</v>
      </c>
      <c r="AO69" s="131">
        <f t="shared" si="54"/>
        <v>11182738.742783997</v>
      </c>
      <c r="AP69" s="131">
        <f t="shared" si="44"/>
        <v>5546837.7115000002</v>
      </c>
      <c r="AQ69" s="131">
        <f t="shared" si="45"/>
        <v>8938269.8163333312</v>
      </c>
      <c r="AR69" s="131">
        <f t="shared" si="46"/>
        <v>896862.03733333352</v>
      </c>
      <c r="AS69" s="131">
        <f t="shared" si="47"/>
        <v>15381969.565166665</v>
      </c>
      <c r="AT69" s="134">
        <f t="shared" si="48"/>
        <v>0.21832358674463936</v>
      </c>
    </row>
    <row r="70" spans="3:46">
      <c r="C70" s="161">
        <f t="shared" si="50"/>
        <v>2021</v>
      </c>
      <c r="D70" s="35" t="s">
        <v>260</v>
      </c>
      <c r="E70" s="227">
        <v>44353</v>
      </c>
      <c r="F70" s="156">
        <v>264628.03999999998</v>
      </c>
      <c r="G70" s="131">
        <f t="shared" si="51"/>
        <v>47421.344767999995</v>
      </c>
      <c r="H70" s="156">
        <v>405696.08</v>
      </c>
      <c r="I70" s="156">
        <v>0</v>
      </c>
      <c r="J70" s="156">
        <v>0</v>
      </c>
      <c r="K70" s="131">
        <f t="shared" si="52"/>
        <v>405696.08</v>
      </c>
      <c r="L70" s="134">
        <v>0.1792</v>
      </c>
      <c r="N70" s="227">
        <v>44353</v>
      </c>
      <c r="O70" s="35">
        <f t="shared" si="33"/>
        <v>46149103.800000012</v>
      </c>
      <c r="P70" s="35">
        <f t="shared" si="34"/>
        <v>8269919.4009599965</v>
      </c>
      <c r="Q70" s="35">
        <f t="shared" si="35"/>
        <v>2318202.46</v>
      </c>
      <c r="R70" s="35">
        <f t="shared" si="36"/>
        <v>2832783.8200000003</v>
      </c>
      <c r="S70" s="35">
        <f t="shared" si="37"/>
        <v>104053.16</v>
      </c>
      <c r="T70" s="35">
        <f t="shared" si="49"/>
        <v>5255039.4400000004</v>
      </c>
      <c r="U70" s="34">
        <f t="shared" si="39"/>
        <v>0.21832358674463936</v>
      </c>
      <c r="V70" s="232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232"/>
      <c r="AJ70" s="233"/>
      <c r="AL70" s="161">
        <f t="shared" si="53"/>
        <v>2024</v>
      </c>
      <c r="AM70" s="227">
        <v>45505</v>
      </c>
      <c r="AN70" s="131">
        <f t="shared" si="42"/>
        <v>69329877.944400027</v>
      </c>
      <c r="AO70" s="131">
        <f t="shared" si="54"/>
        <v>12423914.127636485</v>
      </c>
      <c r="AP70" s="131">
        <f t="shared" si="44"/>
        <v>5546837.7115000002</v>
      </c>
      <c r="AQ70" s="131">
        <f t="shared" si="45"/>
        <v>8938269.8163333312</v>
      </c>
      <c r="AR70" s="131">
        <f t="shared" si="46"/>
        <v>896862.03733333352</v>
      </c>
      <c r="AS70" s="131">
        <f t="shared" si="47"/>
        <v>15381969.565166665</v>
      </c>
      <c r="AT70" s="134">
        <f t="shared" si="48"/>
        <v>0.21832358674463936</v>
      </c>
    </row>
    <row r="71" spans="3:46">
      <c r="C71" s="161">
        <f t="shared" si="50"/>
        <v>2015</v>
      </c>
      <c r="D71" s="35" t="s">
        <v>261</v>
      </c>
      <c r="E71" s="227">
        <v>42309</v>
      </c>
      <c r="F71" s="156">
        <v>72148.53</v>
      </c>
      <c r="G71" s="131">
        <f t="shared" si="51"/>
        <v>12929.016576</v>
      </c>
      <c r="H71" s="156">
        <v>0</v>
      </c>
      <c r="I71" s="156">
        <v>300820.43</v>
      </c>
      <c r="J71" s="156">
        <v>44342.38</v>
      </c>
      <c r="K71" s="131">
        <f t="shared" si="52"/>
        <v>345162.81</v>
      </c>
      <c r="L71" s="134">
        <v>0.1792</v>
      </c>
      <c r="AJ71" s="233"/>
      <c r="AL71" s="161">
        <f t="shared" si="53"/>
        <v>2024</v>
      </c>
      <c r="AM71" s="227">
        <v>45536</v>
      </c>
      <c r="AN71" s="131">
        <f t="shared" si="42"/>
        <v>70229467.789200008</v>
      </c>
      <c r="AO71" s="131">
        <f t="shared" si="54"/>
        <v>12585120.627824642</v>
      </c>
      <c r="AP71" s="131">
        <f t="shared" si="44"/>
        <v>5546837.7115000002</v>
      </c>
      <c r="AQ71" s="131">
        <f t="shared" si="45"/>
        <v>8938269.8163333312</v>
      </c>
      <c r="AR71" s="131">
        <f t="shared" si="46"/>
        <v>896862.03733333352</v>
      </c>
      <c r="AS71" s="131">
        <f t="shared" ref="AS71:AS74" si="55">SUM(AP71:AR71)</f>
        <v>15381969.565166665</v>
      </c>
      <c r="AT71" s="134">
        <f t="shared" ref="AT71:AT74" si="56">(AN71)/(AN71-AO71)-1</f>
        <v>0.21832358674463936</v>
      </c>
    </row>
    <row r="72" spans="3:46">
      <c r="C72" s="161">
        <f t="shared" si="50"/>
        <v>2015</v>
      </c>
      <c r="D72" s="35" t="s">
        <v>261</v>
      </c>
      <c r="E72" s="227">
        <v>42339</v>
      </c>
      <c r="F72" s="156">
        <v>69000.73</v>
      </c>
      <c r="G72" s="131">
        <f t="shared" si="51"/>
        <v>12364.930816</v>
      </c>
      <c r="H72" s="156">
        <v>455.51</v>
      </c>
      <c r="I72" s="156">
        <v>23003.11</v>
      </c>
      <c r="J72" s="156">
        <v>0</v>
      </c>
      <c r="K72" s="131">
        <f t="shared" si="52"/>
        <v>23458.62</v>
      </c>
      <c r="L72" s="134">
        <v>0.1792</v>
      </c>
      <c r="AJ72" s="233"/>
      <c r="AL72" s="161">
        <f t="shared" si="53"/>
        <v>2024</v>
      </c>
      <c r="AM72" s="227">
        <v>45566</v>
      </c>
      <c r="AN72" s="131">
        <f t="shared" si="42"/>
        <v>75658800.25440003</v>
      </c>
      <c r="AO72" s="131">
        <f t="shared" si="54"/>
        <v>13558057.005588485</v>
      </c>
      <c r="AP72" s="131">
        <f t="shared" si="44"/>
        <v>5546837.7115000002</v>
      </c>
      <c r="AQ72" s="131">
        <f t="shared" si="45"/>
        <v>8938269.8163333312</v>
      </c>
      <c r="AR72" s="131">
        <f t="shared" si="46"/>
        <v>896862.03733333352</v>
      </c>
      <c r="AS72" s="131">
        <f t="shared" si="55"/>
        <v>15381969.565166665</v>
      </c>
      <c r="AT72" s="134">
        <f t="shared" si="56"/>
        <v>0.21832358674463936</v>
      </c>
    </row>
    <row r="73" spans="3:46">
      <c r="C73" s="161">
        <f t="shared" si="50"/>
        <v>2016</v>
      </c>
      <c r="D73" s="35" t="s">
        <v>261</v>
      </c>
      <c r="E73" s="227">
        <v>42370</v>
      </c>
      <c r="F73" s="156">
        <v>67414.17</v>
      </c>
      <c r="G73" s="131">
        <f t="shared" si="51"/>
        <v>12080.619263999999</v>
      </c>
      <c r="H73" s="156">
        <v>145.44</v>
      </c>
      <c r="I73" s="156">
        <v>70922.5</v>
      </c>
      <c r="J73" s="156">
        <v>0</v>
      </c>
      <c r="K73" s="131">
        <f t="shared" si="52"/>
        <v>71067.94</v>
      </c>
      <c r="L73" s="134">
        <v>0.1792</v>
      </c>
      <c r="AJ73" s="233"/>
      <c r="AL73" s="161">
        <f t="shared" si="53"/>
        <v>2024</v>
      </c>
      <c r="AM73" s="227">
        <v>45597</v>
      </c>
      <c r="AN73" s="131">
        <f t="shared" si="42"/>
        <v>75766672.782000005</v>
      </c>
      <c r="AO73" s="131">
        <f t="shared" si="54"/>
        <v>13577387.7625344</v>
      </c>
      <c r="AP73" s="131">
        <f t="shared" si="44"/>
        <v>5546837.7115000002</v>
      </c>
      <c r="AQ73" s="131">
        <f t="shared" si="45"/>
        <v>8938269.8163333312</v>
      </c>
      <c r="AR73" s="131">
        <f t="shared" si="46"/>
        <v>896862.03733333352</v>
      </c>
      <c r="AS73" s="131">
        <f t="shared" si="55"/>
        <v>15381969.565166665</v>
      </c>
      <c r="AT73" s="134">
        <f t="shared" si="56"/>
        <v>0.21832358674463936</v>
      </c>
    </row>
    <row r="74" spans="3:46">
      <c r="C74" s="161">
        <f t="shared" si="50"/>
        <v>2016</v>
      </c>
      <c r="D74" s="35" t="s">
        <v>261</v>
      </c>
      <c r="E74" s="227">
        <v>42401</v>
      </c>
      <c r="F74" s="156">
        <v>64331.69</v>
      </c>
      <c r="G74" s="131">
        <f t="shared" si="51"/>
        <v>11528.238848000001</v>
      </c>
      <c r="H74" s="156">
        <v>271.85000000000002</v>
      </c>
      <c r="I74" s="156">
        <v>0</v>
      </c>
      <c r="J74" s="156">
        <v>0</v>
      </c>
      <c r="K74" s="131">
        <f t="shared" si="52"/>
        <v>271.85000000000002</v>
      </c>
      <c r="L74" s="134">
        <v>0.1792</v>
      </c>
      <c r="AJ74" s="233"/>
      <c r="AL74" s="161">
        <f t="shared" si="53"/>
        <v>2024</v>
      </c>
      <c r="AM74" s="227">
        <v>45627</v>
      </c>
      <c r="AN74" s="131">
        <f t="shared" si="42"/>
        <v>72982215.000000015</v>
      </c>
      <c r="AO74" s="131">
        <f t="shared" si="54"/>
        <v>13078412.928000003</v>
      </c>
      <c r="AP74" s="131">
        <f t="shared" si="44"/>
        <v>5546837.7115000002</v>
      </c>
      <c r="AQ74" s="131">
        <f t="shared" si="45"/>
        <v>8938269.8163333312</v>
      </c>
      <c r="AR74" s="131">
        <f t="shared" si="46"/>
        <v>896862.03733333352</v>
      </c>
      <c r="AS74" s="131">
        <f t="shared" si="55"/>
        <v>15381969.565166665</v>
      </c>
      <c r="AT74" s="134">
        <f t="shared" si="56"/>
        <v>0.21832358674463936</v>
      </c>
    </row>
    <row r="75" spans="3:46">
      <c r="C75" s="161">
        <f t="shared" si="50"/>
        <v>2016</v>
      </c>
      <c r="D75" s="35" t="s">
        <v>261</v>
      </c>
      <c r="E75" s="227">
        <v>42430</v>
      </c>
      <c r="F75" s="156">
        <v>65123.6</v>
      </c>
      <c r="G75" s="131">
        <f t="shared" si="51"/>
        <v>11670.14912</v>
      </c>
      <c r="H75" s="156">
        <v>26122.84</v>
      </c>
      <c r="I75" s="156">
        <v>4609.22</v>
      </c>
      <c r="J75" s="156">
        <v>0</v>
      </c>
      <c r="K75" s="131">
        <f t="shared" si="52"/>
        <v>30732.06</v>
      </c>
      <c r="L75" s="134">
        <v>0.1792</v>
      </c>
      <c r="AJ75" s="233"/>
    </row>
    <row r="76" spans="3:46">
      <c r="C76" s="161">
        <f t="shared" si="50"/>
        <v>2016</v>
      </c>
      <c r="D76" s="35" t="s">
        <v>261</v>
      </c>
      <c r="E76" s="227">
        <v>42461</v>
      </c>
      <c r="F76" s="156">
        <v>69897.960000000006</v>
      </c>
      <c r="G76" s="131">
        <f t="shared" si="51"/>
        <v>12525.714432000001</v>
      </c>
      <c r="H76" s="156">
        <v>0</v>
      </c>
      <c r="I76" s="156">
        <v>0</v>
      </c>
      <c r="J76" s="156">
        <v>0</v>
      </c>
      <c r="K76" s="131">
        <f t="shared" si="52"/>
        <v>0</v>
      </c>
      <c r="L76" s="134">
        <v>0.1792</v>
      </c>
      <c r="AJ76" s="233"/>
    </row>
    <row r="77" spans="3:46">
      <c r="C77" s="161">
        <f t="shared" si="50"/>
        <v>2016</v>
      </c>
      <c r="D77" s="35" t="s">
        <v>261</v>
      </c>
      <c r="E77" s="227">
        <v>42491</v>
      </c>
      <c r="F77" s="156">
        <v>71631.570000000007</v>
      </c>
      <c r="G77" s="131">
        <f t="shared" si="51"/>
        <v>12836.377344</v>
      </c>
      <c r="H77" s="156">
        <v>602.25</v>
      </c>
      <c r="I77" s="156">
        <v>0</v>
      </c>
      <c r="J77" s="156">
        <v>269</v>
      </c>
      <c r="K77" s="131">
        <f t="shared" si="52"/>
        <v>871.25</v>
      </c>
      <c r="L77" s="134">
        <v>0.1792</v>
      </c>
      <c r="AJ77" s="233"/>
    </row>
    <row r="78" spans="3:46">
      <c r="C78" s="161">
        <f t="shared" si="50"/>
        <v>2016</v>
      </c>
      <c r="D78" s="35" t="s">
        <v>261</v>
      </c>
      <c r="E78" s="227">
        <v>42522</v>
      </c>
      <c r="F78" s="156">
        <v>63909.14</v>
      </c>
      <c r="G78" s="131">
        <f t="shared" si="51"/>
        <v>11452.517888</v>
      </c>
      <c r="H78" s="156">
        <v>1301.1600000000001</v>
      </c>
      <c r="I78" s="156">
        <v>0</v>
      </c>
      <c r="J78" s="156">
        <v>0</v>
      </c>
      <c r="K78" s="131">
        <f t="shared" si="52"/>
        <v>1301.1600000000001</v>
      </c>
      <c r="L78" s="134">
        <v>0.1792</v>
      </c>
      <c r="AJ78" s="233"/>
    </row>
    <row r="79" spans="3:46">
      <c r="C79" s="161">
        <f t="shared" si="50"/>
        <v>2016</v>
      </c>
      <c r="D79" s="35" t="s">
        <v>261</v>
      </c>
      <c r="E79" s="227">
        <v>42552</v>
      </c>
      <c r="F79" s="156">
        <v>78493.600000000006</v>
      </c>
      <c r="G79" s="131">
        <f t="shared" si="51"/>
        <v>14066.05312</v>
      </c>
      <c r="H79" s="156">
        <v>1374.61</v>
      </c>
      <c r="I79" s="156">
        <v>0</v>
      </c>
      <c r="J79" s="156">
        <v>0</v>
      </c>
      <c r="K79" s="131">
        <f t="shared" si="52"/>
        <v>1374.61</v>
      </c>
      <c r="L79" s="134">
        <v>0.1792</v>
      </c>
      <c r="AJ79" s="233"/>
    </row>
    <row r="80" spans="3:46">
      <c r="C80" s="161">
        <f t="shared" si="50"/>
        <v>2016</v>
      </c>
      <c r="D80" s="35" t="s">
        <v>261</v>
      </c>
      <c r="E80" s="227">
        <v>42583</v>
      </c>
      <c r="F80" s="156">
        <v>83929.2</v>
      </c>
      <c r="G80" s="131">
        <f t="shared" si="51"/>
        <v>15040.112639999999</v>
      </c>
      <c r="H80" s="156">
        <v>1475.01</v>
      </c>
      <c r="I80" s="156">
        <v>56244.5</v>
      </c>
      <c r="J80" s="156">
        <v>3980</v>
      </c>
      <c r="K80" s="131">
        <f t="shared" si="52"/>
        <v>61699.51</v>
      </c>
      <c r="L80" s="134">
        <v>0.1792</v>
      </c>
      <c r="AJ80" s="233"/>
    </row>
    <row r="81" spans="3:36">
      <c r="C81" s="161">
        <f t="shared" si="50"/>
        <v>2016</v>
      </c>
      <c r="D81" s="35" t="s">
        <v>261</v>
      </c>
      <c r="E81" s="227">
        <v>42614</v>
      </c>
      <c r="F81" s="156">
        <v>77547.66</v>
      </c>
      <c r="G81" s="131">
        <f t="shared" si="51"/>
        <v>13896.540672000001</v>
      </c>
      <c r="H81" s="156">
        <v>1217.08</v>
      </c>
      <c r="I81" s="156">
        <v>0</v>
      </c>
      <c r="J81" s="156">
        <v>0</v>
      </c>
      <c r="K81" s="131">
        <f t="shared" si="52"/>
        <v>1217.08</v>
      </c>
      <c r="L81" s="134">
        <v>0.1792</v>
      </c>
      <c r="AJ81" s="233"/>
    </row>
    <row r="82" spans="3:36">
      <c r="C82" s="161">
        <f t="shared" si="50"/>
        <v>2016</v>
      </c>
      <c r="D82" s="35" t="s">
        <v>261</v>
      </c>
      <c r="E82" s="227">
        <v>42644</v>
      </c>
      <c r="F82" s="156">
        <v>81955.67</v>
      </c>
      <c r="G82" s="131">
        <f t="shared" si="51"/>
        <v>14686.456064</v>
      </c>
      <c r="H82" s="156">
        <v>179.69</v>
      </c>
      <c r="I82" s="156">
        <v>272896.73</v>
      </c>
      <c r="J82" s="156">
        <v>0</v>
      </c>
      <c r="K82" s="131">
        <f t="shared" si="52"/>
        <v>273076.42</v>
      </c>
      <c r="L82" s="134">
        <v>0.1792</v>
      </c>
      <c r="AJ82" s="233"/>
    </row>
    <row r="83" spans="3:36">
      <c r="C83" s="161">
        <f t="shared" si="50"/>
        <v>2016</v>
      </c>
      <c r="D83" s="35" t="s">
        <v>261</v>
      </c>
      <c r="E83" s="227">
        <v>42675</v>
      </c>
      <c r="F83" s="156">
        <v>82304.850000000006</v>
      </c>
      <c r="G83" s="131">
        <f t="shared" si="51"/>
        <v>14749.029120000001</v>
      </c>
      <c r="H83" s="156">
        <v>839.12</v>
      </c>
      <c r="I83" s="156">
        <v>0</v>
      </c>
      <c r="J83" s="156">
        <v>0</v>
      </c>
      <c r="K83" s="131">
        <f t="shared" si="52"/>
        <v>839.12</v>
      </c>
      <c r="L83" s="134">
        <v>0.1792</v>
      </c>
      <c r="AJ83" s="233"/>
    </row>
    <row r="84" spans="3:36">
      <c r="C84" s="161">
        <f t="shared" si="50"/>
        <v>2016</v>
      </c>
      <c r="D84" s="35" t="s">
        <v>261</v>
      </c>
      <c r="E84" s="227">
        <v>42705</v>
      </c>
      <c r="F84" s="156">
        <v>76987.88</v>
      </c>
      <c r="G84" s="131">
        <f t="shared" si="51"/>
        <v>13796.228096000001</v>
      </c>
      <c r="H84" s="156">
        <v>736.04</v>
      </c>
      <c r="I84" s="156">
        <v>55652.61</v>
      </c>
      <c r="J84" s="156">
        <v>0</v>
      </c>
      <c r="K84" s="131">
        <f t="shared" si="52"/>
        <v>56388.65</v>
      </c>
      <c r="L84" s="134">
        <v>0.1792</v>
      </c>
      <c r="AJ84" s="233"/>
    </row>
    <row r="85" spans="3:36">
      <c r="C85" s="161">
        <f t="shared" si="50"/>
        <v>2017</v>
      </c>
      <c r="D85" s="35" t="s">
        <v>261</v>
      </c>
      <c r="E85" s="227">
        <v>42736</v>
      </c>
      <c r="F85" s="156">
        <v>78442.2</v>
      </c>
      <c r="G85" s="131">
        <f t="shared" si="51"/>
        <v>14056.84224</v>
      </c>
      <c r="H85" s="156">
        <v>270.11</v>
      </c>
      <c r="I85" s="156">
        <v>5814.22</v>
      </c>
      <c r="J85" s="156">
        <v>0</v>
      </c>
      <c r="K85" s="131">
        <f t="shared" si="52"/>
        <v>6084.33</v>
      </c>
      <c r="L85" s="134">
        <v>0.1792</v>
      </c>
      <c r="AJ85" s="233"/>
    </row>
    <row r="86" spans="3:36">
      <c r="C86" s="161">
        <f t="shared" si="50"/>
        <v>2017</v>
      </c>
      <c r="D86" s="35" t="s">
        <v>261</v>
      </c>
      <c r="E86" s="227">
        <v>42767</v>
      </c>
      <c r="F86" s="156">
        <v>74629.52</v>
      </c>
      <c r="G86" s="131">
        <f t="shared" si="51"/>
        <v>13373.609984000001</v>
      </c>
      <c r="H86" s="156">
        <v>0</v>
      </c>
      <c r="I86" s="156">
        <v>35771.300000000003</v>
      </c>
      <c r="J86" s="156">
        <v>0</v>
      </c>
      <c r="K86" s="131">
        <f t="shared" si="52"/>
        <v>35771.300000000003</v>
      </c>
      <c r="L86" s="134">
        <v>0.1792</v>
      </c>
      <c r="AJ86" s="233"/>
    </row>
    <row r="87" spans="3:36">
      <c r="C87" s="161">
        <f t="shared" si="50"/>
        <v>2017</v>
      </c>
      <c r="D87" s="35" t="s">
        <v>261</v>
      </c>
      <c r="E87" s="227">
        <v>42795</v>
      </c>
      <c r="F87" s="156">
        <v>75600.83</v>
      </c>
      <c r="G87" s="131">
        <f t="shared" si="51"/>
        <v>13547.668736</v>
      </c>
      <c r="H87" s="156">
        <v>272.85000000000002</v>
      </c>
      <c r="I87" s="156">
        <v>4320.8500000000004</v>
      </c>
      <c r="J87" s="156">
        <v>0</v>
      </c>
      <c r="K87" s="131">
        <f t="shared" si="52"/>
        <v>4593.7000000000007</v>
      </c>
      <c r="L87" s="134">
        <v>0.1792</v>
      </c>
      <c r="AJ87" s="233"/>
    </row>
    <row r="88" spans="3:36">
      <c r="C88" s="161">
        <f t="shared" si="50"/>
        <v>2017</v>
      </c>
      <c r="D88" s="35" t="s">
        <v>261</v>
      </c>
      <c r="E88" s="227">
        <v>42826</v>
      </c>
      <c r="F88" s="156">
        <v>79780.23</v>
      </c>
      <c r="G88" s="131">
        <f t="shared" si="51"/>
        <v>14296.617215999999</v>
      </c>
      <c r="H88" s="156">
        <v>209.53</v>
      </c>
      <c r="I88" s="156">
        <v>199267.04</v>
      </c>
      <c r="J88" s="156">
        <v>0</v>
      </c>
      <c r="K88" s="131">
        <f t="shared" si="52"/>
        <v>199476.57</v>
      </c>
      <c r="L88" s="134">
        <v>0.1792</v>
      </c>
      <c r="AJ88" s="233"/>
    </row>
    <row r="89" spans="3:36">
      <c r="C89" s="161">
        <f t="shared" si="50"/>
        <v>2017</v>
      </c>
      <c r="D89" s="35" t="s">
        <v>261</v>
      </c>
      <c r="E89" s="227">
        <v>42856</v>
      </c>
      <c r="F89" s="156">
        <v>79524.56</v>
      </c>
      <c r="G89" s="131">
        <f t="shared" si="51"/>
        <v>14250.801152</v>
      </c>
      <c r="H89" s="156">
        <v>157.72999999999999</v>
      </c>
      <c r="I89" s="156">
        <v>155741.82</v>
      </c>
      <c r="J89" s="156">
        <v>0</v>
      </c>
      <c r="K89" s="131">
        <f t="shared" si="52"/>
        <v>155899.55000000002</v>
      </c>
      <c r="L89" s="134">
        <v>0.1792</v>
      </c>
      <c r="AJ89" s="233"/>
    </row>
    <row r="90" spans="3:36">
      <c r="C90" s="161">
        <f t="shared" si="50"/>
        <v>2017</v>
      </c>
      <c r="D90" s="35" t="s">
        <v>261</v>
      </c>
      <c r="E90" s="227">
        <v>42887</v>
      </c>
      <c r="F90" s="156">
        <v>78149.39</v>
      </c>
      <c r="G90" s="131">
        <f t="shared" si="51"/>
        <v>14004.370687999999</v>
      </c>
      <c r="H90" s="156">
        <v>0</v>
      </c>
      <c r="I90" s="156">
        <v>0</v>
      </c>
      <c r="J90" s="156">
        <v>0</v>
      </c>
      <c r="K90" s="131">
        <f t="shared" si="52"/>
        <v>0</v>
      </c>
      <c r="L90" s="134">
        <v>0.1792</v>
      </c>
      <c r="AJ90" s="233"/>
    </row>
    <row r="91" spans="3:36">
      <c r="C91" s="161">
        <f t="shared" si="50"/>
        <v>2017</v>
      </c>
      <c r="D91" s="35" t="s">
        <v>261</v>
      </c>
      <c r="E91" s="227">
        <v>42917</v>
      </c>
      <c r="F91" s="156">
        <v>86682.79</v>
      </c>
      <c r="G91" s="131">
        <f t="shared" si="51"/>
        <v>15533.555967999999</v>
      </c>
      <c r="H91" s="156">
        <v>324.13</v>
      </c>
      <c r="I91" s="156">
        <v>0</v>
      </c>
      <c r="J91" s="156">
        <v>0</v>
      </c>
      <c r="K91" s="131">
        <f t="shared" si="52"/>
        <v>324.13</v>
      </c>
      <c r="L91" s="134">
        <v>0.1792</v>
      </c>
      <c r="AJ91" s="233"/>
    </row>
    <row r="92" spans="3:36">
      <c r="C92" s="161">
        <f t="shared" si="50"/>
        <v>2017</v>
      </c>
      <c r="D92" s="35" t="s">
        <v>261</v>
      </c>
      <c r="E92" s="227">
        <v>42948</v>
      </c>
      <c r="F92" s="156">
        <v>92776.03</v>
      </c>
      <c r="G92" s="131">
        <f t="shared" si="51"/>
        <v>16625.464575999998</v>
      </c>
      <c r="H92" s="156">
        <v>185.65</v>
      </c>
      <c r="I92" s="156">
        <v>0</v>
      </c>
      <c r="J92" s="156">
        <v>0</v>
      </c>
      <c r="K92" s="131">
        <f t="shared" si="52"/>
        <v>185.65</v>
      </c>
      <c r="L92" s="134">
        <v>0.1792</v>
      </c>
      <c r="AJ92" s="233"/>
    </row>
    <row r="93" spans="3:36">
      <c r="C93" s="161">
        <f t="shared" si="50"/>
        <v>2017</v>
      </c>
      <c r="D93" s="35" t="s">
        <v>261</v>
      </c>
      <c r="E93" s="227">
        <v>42979</v>
      </c>
      <c r="F93" s="156">
        <v>94303.12</v>
      </c>
      <c r="G93" s="131">
        <f t="shared" si="51"/>
        <v>16899.119103999998</v>
      </c>
      <c r="H93" s="156">
        <v>92.83</v>
      </c>
      <c r="I93" s="156">
        <v>0</v>
      </c>
      <c r="J93" s="156">
        <v>0</v>
      </c>
      <c r="K93" s="131">
        <f t="shared" si="52"/>
        <v>92.83</v>
      </c>
      <c r="L93" s="134">
        <v>0.1792</v>
      </c>
      <c r="AJ93" s="233"/>
    </row>
    <row r="94" spans="3:36">
      <c r="C94" s="161">
        <f t="shared" si="50"/>
        <v>2017</v>
      </c>
      <c r="D94" s="35" t="s">
        <v>261</v>
      </c>
      <c r="E94" s="227">
        <v>43009</v>
      </c>
      <c r="F94" s="156">
        <v>90068</v>
      </c>
      <c r="G94" s="131">
        <f t="shared" si="51"/>
        <v>16140.185600000001</v>
      </c>
      <c r="H94" s="156">
        <v>92.18</v>
      </c>
      <c r="I94" s="156">
        <v>0</v>
      </c>
      <c r="J94" s="156">
        <v>0</v>
      </c>
      <c r="K94" s="131">
        <f t="shared" si="52"/>
        <v>92.18</v>
      </c>
      <c r="L94" s="134">
        <v>0.1792</v>
      </c>
      <c r="AJ94" s="233"/>
    </row>
    <row r="95" spans="3:36">
      <c r="C95" s="161">
        <f t="shared" si="50"/>
        <v>2017</v>
      </c>
      <c r="D95" s="35" t="s">
        <v>261</v>
      </c>
      <c r="E95" s="227">
        <v>43040</v>
      </c>
      <c r="F95" s="156">
        <v>87603.13</v>
      </c>
      <c r="G95" s="131">
        <f t="shared" si="51"/>
        <v>15698.480896000001</v>
      </c>
      <c r="H95" s="156">
        <v>2572.89</v>
      </c>
      <c r="I95" s="156">
        <v>0</v>
      </c>
      <c r="J95" s="156">
        <v>0</v>
      </c>
      <c r="K95" s="131">
        <f t="shared" si="52"/>
        <v>2572.89</v>
      </c>
      <c r="L95" s="134">
        <v>0.1792</v>
      </c>
      <c r="AJ95" s="233"/>
    </row>
    <row r="96" spans="3:36">
      <c r="C96" s="161">
        <f t="shared" si="50"/>
        <v>2017</v>
      </c>
      <c r="D96" s="35" t="s">
        <v>261</v>
      </c>
      <c r="E96" s="227">
        <v>43070</v>
      </c>
      <c r="F96" s="156">
        <v>89705.34</v>
      </c>
      <c r="G96" s="131">
        <f t="shared" si="51"/>
        <v>16075.196927999999</v>
      </c>
      <c r="H96" s="156">
        <v>3608.21</v>
      </c>
      <c r="I96" s="156">
        <v>0</v>
      </c>
      <c r="J96" s="156">
        <v>0</v>
      </c>
      <c r="K96" s="131">
        <f t="shared" si="52"/>
        <v>3608.21</v>
      </c>
      <c r="L96" s="134">
        <v>0.1792</v>
      </c>
      <c r="AJ96" s="233"/>
    </row>
    <row r="97" spans="3:36">
      <c r="C97" s="161">
        <f t="shared" si="50"/>
        <v>2018</v>
      </c>
      <c r="D97" s="35" t="s">
        <v>261</v>
      </c>
      <c r="E97" s="227">
        <v>43101</v>
      </c>
      <c r="F97" s="156">
        <v>91364.1</v>
      </c>
      <c r="G97" s="131">
        <f t="shared" si="51"/>
        <v>16372.446720000002</v>
      </c>
      <c r="H97" s="156">
        <v>328.88</v>
      </c>
      <c r="I97" s="156">
        <v>0</v>
      </c>
      <c r="J97" s="156">
        <v>0</v>
      </c>
      <c r="K97" s="131">
        <f t="shared" si="52"/>
        <v>328.88</v>
      </c>
      <c r="L97" s="134">
        <v>0.1792</v>
      </c>
      <c r="AJ97" s="233"/>
    </row>
    <row r="98" spans="3:36">
      <c r="C98" s="161">
        <f t="shared" si="50"/>
        <v>2018</v>
      </c>
      <c r="D98" s="35" t="s">
        <v>261</v>
      </c>
      <c r="E98" s="227">
        <v>43132</v>
      </c>
      <c r="F98" s="156">
        <v>98415.42</v>
      </c>
      <c r="G98" s="131">
        <f t="shared" si="51"/>
        <v>17636.043264</v>
      </c>
      <c r="H98" s="156">
        <v>273.41000000000003</v>
      </c>
      <c r="I98" s="156">
        <v>0</v>
      </c>
      <c r="J98" s="156">
        <v>0</v>
      </c>
      <c r="K98" s="131">
        <f t="shared" si="52"/>
        <v>273.41000000000003</v>
      </c>
      <c r="L98" s="134">
        <v>0.1792</v>
      </c>
      <c r="AJ98" s="233"/>
    </row>
    <row r="99" spans="3:36">
      <c r="C99" s="161">
        <f t="shared" si="50"/>
        <v>2018</v>
      </c>
      <c r="D99" s="35" t="s">
        <v>261</v>
      </c>
      <c r="E99" s="227">
        <v>43160</v>
      </c>
      <c r="F99" s="156">
        <v>90116.27</v>
      </c>
      <c r="G99" s="131">
        <f t="shared" si="51"/>
        <v>16148.835584</v>
      </c>
      <c r="H99" s="156">
        <v>415.29</v>
      </c>
      <c r="I99" s="156">
        <v>8182.74</v>
      </c>
      <c r="J99" s="156">
        <v>0</v>
      </c>
      <c r="K99" s="131">
        <f t="shared" si="52"/>
        <v>8598.0300000000007</v>
      </c>
      <c r="L99" s="134">
        <v>0.1792</v>
      </c>
      <c r="AJ99" s="233"/>
    </row>
    <row r="100" spans="3:36">
      <c r="C100" s="161">
        <f t="shared" si="50"/>
        <v>2018</v>
      </c>
      <c r="D100" s="35" t="s">
        <v>261</v>
      </c>
      <c r="E100" s="227">
        <v>43191</v>
      </c>
      <c r="F100" s="156">
        <v>100345.47</v>
      </c>
      <c r="G100" s="131">
        <f t="shared" si="51"/>
        <v>17981.908223999999</v>
      </c>
      <c r="H100" s="156">
        <v>597.01</v>
      </c>
      <c r="I100" s="156">
        <v>0</v>
      </c>
      <c r="J100" s="156">
        <v>0</v>
      </c>
      <c r="K100" s="131">
        <f t="shared" si="52"/>
        <v>597.01</v>
      </c>
      <c r="L100" s="134">
        <v>0.1792</v>
      </c>
      <c r="AJ100" s="233"/>
    </row>
    <row r="101" spans="3:36">
      <c r="C101" s="161">
        <f t="shared" si="50"/>
        <v>2018</v>
      </c>
      <c r="D101" s="35" t="s">
        <v>261</v>
      </c>
      <c r="E101" s="227">
        <v>43221</v>
      </c>
      <c r="F101" s="156">
        <v>100635.68</v>
      </c>
      <c r="G101" s="131">
        <f t="shared" si="51"/>
        <v>18033.913855999999</v>
      </c>
      <c r="H101" s="156">
        <v>0</v>
      </c>
      <c r="I101" s="156">
        <v>0</v>
      </c>
      <c r="J101" s="156">
        <v>0</v>
      </c>
      <c r="K101" s="131">
        <f t="shared" si="52"/>
        <v>0</v>
      </c>
      <c r="L101" s="134">
        <v>0.1792</v>
      </c>
      <c r="AJ101" s="233"/>
    </row>
    <row r="102" spans="3:36">
      <c r="C102" s="161">
        <f t="shared" si="50"/>
        <v>2018</v>
      </c>
      <c r="D102" s="35" t="s">
        <v>261</v>
      </c>
      <c r="E102" s="227">
        <v>43252</v>
      </c>
      <c r="F102" s="156">
        <v>100798.28</v>
      </c>
      <c r="G102" s="131">
        <f t="shared" si="51"/>
        <v>18063.051776</v>
      </c>
      <c r="H102" s="156">
        <v>0</v>
      </c>
      <c r="I102" s="156">
        <v>0</v>
      </c>
      <c r="J102" s="156">
        <v>0</v>
      </c>
      <c r="K102" s="131">
        <f t="shared" si="52"/>
        <v>0</v>
      </c>
      <c r="L102" s="134">
        <v>0.1792</v>
      </c>
      <c r="AJ102" s="233"/>
    </row>
    <row r="103" spans="3:36">
      <c r="C103" s="161">
        <f t="shared" si="50"/>
        <v>2018</v>
      </c>
      <c r="D103" s="35" t="s">
        <v>261</v>
      </c>
      <c r="E103" s="227">
        <v>43282</v>
      </c>
      <c r="F103" s="156">
        <v>102890.54</v>
      </c>
      <c r="G103" s="131">
        <f t="shared" si="51"/>
        <v>18437.984767999998</v>
      </c>
      <c r="H103" s="156">
        <v>807.65</v>
      </c>
      <c r="I103" s="156">
        <v>0</v>
      </c>
      <c r="J103" s="156">
        <v>0</v>
      </c>
      <c r="K103" s="131">
        <f t="shared" si="52"/>
        <v>807.65</v>
      </c>
      <c r="L103" s="134">
        <v>0.1792</v>
      </c>
      <c r="AJ103" s="233"/>
    </row>
    <row r="104" spans="3:36">
      <c r="C104" s="161">
        <f t="shared" si="50"/>
        <v>2018</v>
      </c>
      <c r="D104" s="35" t="s">
        <v>261</v>
      </c>
      <c r="E104" s="227">
        <v>43313</v>
      </c>
      <c r="F104" s="156">
        <v>110400.62</v>
      </c>
      <c r="G104" s="131">
        <f t="shared" si="51"/>
        <v>19783.791104</v>
      </c>
      <c r="H104" s="156">
        <v>0</v>
      </c>
      <c r="I104" s="156">
        <v>0</v>
      </c>
      <c r="J104" s="156">
        <v>666.66</v>
      </c>
      <c r="K104" s="131">
        <f t="shared" si="52"/>
        <v>666.66</v>
      </c>
      <c r="L104" s="134">
        <v>0.1792</v>
      </c>
      <c r="AJ104" s="233"/>
    </row>
    <row r="105" spans="3:36">
      <c r="C105" s="161">
        <f t="shared" si="50"/>
        <v>2018</v>
      </c>
      <c r="D105" s="35" t="s">
        <v>261</v>
      </c>
      <c r="E105" s="227">
        <v>43344</v>
      </c>
      <c r="F105" s="156">
        <v>120530.39</v>
      </c>
      <c r="G105" s="131">
        <f t="shared" si="51"/>
        <v>21599.045888000001</v>
      </c>
      <c r="H105" s="156">
        <v>84.42</v>
      </c>
      <c r="I105" s="156">
        <v>0</v>
      </c>
      <c r="J105" s="156">
        <v>2307.5</v>
      </c>
      <c r="K105" s="131">
        <f t="shared" si="52"/>
        <v>2391.92</v>
      </c>
      <c r="L105" s="134">
        <v>0.1792</v>
      </c>
      <c r="AJ105" s="233"/>
    </row>
    <row r="106" spans="3:36">
      <c r="C106" s="161">
        <f t="shared" si="50"/>
        <v>2018</v>
      </c>
      <c r="D106" s="35" t="s">
        <v>261</v>
      </c>
      <c r="E106" s="227">
        <v>43374</v>
      </c>
      <c r="F106" s="156">
        <v>109449.36</v>
      </c>
      <c r="G106" s="131">
        <f t="shared" si="51"/>
        <v>19613.325312000001</v>
      </c>
      <c r="H106" s="156">
        <v>652.91999999999996</v>
      </c>
      <c r="I106" s="156">
        <v>0</v>
      </c>
      <c r="J106" s="156">
        <v>0</v>
      </c>
      <c r="K106" s="131">
        <f t="shared" si="52"/>
        <v>652.91999999999996</v>
      </c>
      <c r="L106" s="134">
        <v>0.1792</v>
      </c>
      <c r="AJ106" s="233"/>
    </row>
    <row r="107" spans="3:36">
      <c r="C107" s="161">
        <f t="shared" si="50"/>
        <v>2018</v>
      </c>
      <c r="D107" s="35" t="s">
        <v>261</v>
      </c>
      <c r="E107" s="227">
        <v>43405</v>
      </c>
      <c r="F107" s="156">
        <v>116263.282575</v>
      </c>
      <c r="G107" s="131">
        <f t="shared" si="51"/>
        <v>20834.38023744</v>
      </c>
      <c r="H107" s="156">
        <v>0</v>
      </c>
      <c r="I107" s="156">
        <v>0</v>
      </c>
      <c r="J107" s="156">
        <v>0</v>
      </c>
      <c r="K107" s="131">
        <f t="shared" si="52"/>
        <v>0</v>
      </c>
      <c r="L107" s="134">
        <v>0.1792</v>
      </c>
      <c r="AJ107" s="233"/>
    </row>
    <row r="108" spans="3:36">
      <c r="C108" s="161">
        <f t="shared" si="50"/>
        <v>2018</v>
      </c>
      <c r="D108" s="35" t="s">
        <v>261</v>
      </c>
      <c r="E108" s="227">
        <v>43435</v>
      </c>
      <c r="F108" s="156">
        <v>114171.71</v>
      </c>
      <c r="G108" s="131">
        <f t="shared" si="51"/>
        <v>20459.570432</v>
      </c>
      <c r="H108" s="156">
        <v>0</v>
      </c>
      <c r="I108" s="156">
        <v>0</v>
      </c>
      <c r="J108" s="156">
        <v>0</v>
      </c>
      <c r="K108" s="131">
        <f t="shared" si="52"/>
        <v>0</v>
      </c>
      <c r="L108" s="134">
        <v>0.1792</v>
      </c>
      <c r="AJ108" s="233"/>
    </row>
    <row r="109" spans="3:36">
      <c r="C109" s="161">
        <f t="shared" si="50"/>
        <v>2019</v>
      </c>
      <c r="D109" s="35" t="s">
        <v>261</v>
      </c>
      <c r="E109" s="227">
        <v>43466</v>
      </c>
      <c r="F109" s="156">
        <v>117487.59</v>
      </c>
      <c r="G109" s="131">
        <f t="shared" si="51"/>
        <v>21053.776127999998</v>
      </c>
      <c r="H109" s="156">
        <v>0</v>
      </c>
      <c r="I109" s="156">
        <v>0</v>
      </c>
      <c r="J109" s="156">
        <v>0</v>
      </c>
      <c r="K109" s="131">
        <f t="shared" si="52"/>
        <v>0</v>
      </c>
      <c r="L109" s="134">
        <v>0.1792</v>
      </c>
      <c r="AJ109" s="233"/>
    </row>
    <row r="110" spans="3:36">
      <c r="C110" s="161">
        <f t="shared" si="50"/>
        <v>2019</v>
      </c>
      <c r="D110" s="35" t="s">
        <v>261</v>
      </c>
      <c r="E110" s="227">
        <v>43497</v>
      </c>
      <c r="F110" s="156">
        <v>111771.33</v>
      </c>
      <c r="G110" s="131">
        <f t="shared" si="51"/>
        <v>20029.422336</v>
      </c>
      <c r="H110" s="156">
        <v>52.13</v>
      </c>
      <c r="I110" s="156">
        <v>7736.6</v>
      </c>
      <c r="J110" s="156">
        <v>0</v>
      </c>
      <c r="K110" s="131">
        <f t="shared" si="52"/>
        <v>7788.7300000000005</v>
      </c>
      <c r="L110" s="134">
        <v>0.1792</v>
      </c>
      <c r="AJ110" s="233"/>
    </row>
    <row r="111" spans="3:36">
      <c r="C111" s="161">
        <f t="shared" si="50"/>
        <v>2019</v>
      </c>
      <c r="D111" s="35" t="s">
        <v>261</v>
      </c>
      <c r="E111" s="227">
        <v>43525</v>
      </c>
      <c r="F111" s="156">
        <v>104762.17</v>
      </c>
      <c r="G111" s="131">
        <f t="shared" si="51"/>
        <v>18773.380863999999</v>
      </c>
      <c r="H111" s="156">
        <v>0</v>
      </c>
      <c r="I111" s="156">
        <v>0</v>
      </c>
      <c r="J111" s="156">
        <v>0</v>
      </c>
      <c r="K111" s="131">
        <f t="shared" si="52"/>
        <v>0</v>
      </c>
      <c r="L111" s="134">
        <v>0.1792</v>
      </c>
      <c r="AJ111" s="233"/>
    </row>
    <row r="112" spans="3:36">
      <c r="C112" s="161">
        <f t="shared" si="50"/>
        <v>2019</v>
      </c>
      <c r="D112" s="35" t="s">
        <v>261</v>
      </c>
      <c r="E112" s="227">
        <v>43556</v>
      </c>
      <c r="F112" s="156">
        <v>111445.95</v>
      </c>
      <c r="G112" s="131">
        <f t="shared" si="51"/>
        <v>19971.114239999999</v>
      </c>
      <c r="H112" s="156">
        <v>1042.9000000000001</v>
      </c>
      <c r="I112" s="156">
        <v>0</v>
      </c>
      <c r="J112" s="156">
        <v>22290.76</v>
      </c>
      <c r="K112" s="131">
        <f t="shared" si="52"/>
        <v>23333.66</v>
      </c>
      <c r="L112" s="134">
        <v>0.1792</v>
      </c>
      <c r="AJ112" s="233"/>
    </row>
    <row r="113" spans="3:36">
      <c r="C113" s="161">
        <f t="shared" si="50"/>
        <v>2019</v>
      </c>
      <c r="D113" s="35" t="s">
        <v>261</v>
      </c>
      <c r="E113" s="227">
        <v>43586</v>
      </c>
      <c r="F113" s="156">
        <v>111423.39</v>
      </c>
      <c r="G113" s="131">
        <f t="shared" si="51"/>
        <v>19967.071488000001</v>
      </c>
      <c r="H113" s="156">
        <v>379.58</v>
      </c>
      <c r="I113" s="156">
        <v>0</v>
      </c>
      <c r="J113" s="156">
        <v>0</v>
      </c>
      <c r="K113" s="131">
        <f t="shared" si="52"/>
        <v>379.58</v>
      </c>
      <c r="L113" s="134">
        <v>0.1792</v>
      </c>
      <c r="AJ113" s="233"/>
    </row>
    <row r="114" spans="3:36">
      <c r="C114" s="161">
        <f t="shared" si="50"/>
        <v>2019</v>
      </c>
      <c r="D114" s="35" t="s">
        <v>261</v>
      </c>
      <c r="E114" s="227">
        <v>43617</v>
      </c>
      <c r="F114" s="156">
        <v>116131.8</v>
      </c>
      <c r="G114" s="131">
        <f t="shared" si="51"/>
        <v>20810.81856</v>
      </c>
      <c r="H114" s="156">
        <v>111.87</v>
      </c>
      <c r="I114" s="156">
        <v>0</v>
      </c>
      <c r="J114" s="156">
        <v>0</v>
      </c>
      <c r="K114" s="131">
        <f t="shared" si="52"/>
        <v>111.87</v>
      </c>
      <c r="L114" s="134">
        <v>0.1792</v>
      </c>
      <c r="AJ114" s="233"/>
    </row>
    <row r="115" spans="3:36">
      <c r="C115" s="161">
        <f t="shared" si="50"/>
        <v>2019</v>
      </c>
      <c r="D115" s="35" t="s">
        <v>261</v>
      </c>
      <c r="E115" s="227">
        <v>43647</v>
      </c>
      <c r="F115" s="156">
        <v>123526.23</v>
      </c>
      <c r="G115" s="131">
        <f t="shared" si="51"/>
        <v>22135.900416</v>
      </c>
      <c r="H115" s="156">
        <v>1114.9000000000001</v>
      </c>
      <c r="I115" s="156">
        <v>0</v>
      </c>
      <c r="J115" s="156">
        <v>0</v>
      </c>
      <c r="K115" s="131">
        <f t="shared" si="52"/>
        <v>1114.9000000000001</v>
      </c>
      <c r="L115" s="134">
        <v>0.1792</v>
      </c>
      <c r="AJ115" s="233"/>
    </row>
    <row r="116" spans="3:36">
      <c r="C116" s="161">
        <f t="shared" si="50"/>
        <v>2019</v>
      </c>
      <c r="D116" s="35" t="s">
        <v>261</v>
      </c>
      <c r="E116" s="227">
        <v>43678</v>
      </c>
      <c r="F116" s="156">
        <v>126042.48</v>
      </c>
      <c r="G116" s="131">
        <f t="shared" si="51"/>
        <v>22586.812416000001</v>
      </c>
      <c r="H116" s="156">
        <v>2819.77</v>
      </c>
      <c r="I116" s="156">
        <v>0</v>
      </c>
      <c r="J116" s="156">
        <v>0</v>
      </c>
      <c r="K116" s="131">
        <f t="shared" si="52"/>
        <v>2819.77</v>
      </c>
      <c r="L116" s="134">
        <v>0.1792</v>
      </c>
      <c r="AJ116" s="233"/>
    </row>
    <row r="117" spans="3:36">
      <c r="C117" s="161">
        <f t="shared" si="50"/>
        <v>2019</v>
      </c>
      <c r="D117" s="35" t="s">
        <v>261</v>
      </c>
      <c r="E117" s="227">
        <v>43709</v>
      </c>
      <c r="F117" s="156">
        <v>141299.70000000001</v>
      </c>
      <c r="G117" s="131">
        <f t="shared" si="51"/>
        <v>25320.90624</v>
      </c>
      <c r="H117" s="156">
        <v>448.24</v>
      </c>
      <c r="I117" s="156">
        <v>0</v>
      </c>
      <c r="J117" s="156">
        <v>0</v>
      </c>
      <c r="K117" s="131">
        <f t="shared" si="52"/>
        <v>448.24</v>
      </c>
      <c r="L117" s="134">
        <v>0.1792</v>
      </c>
      <c r="AJ117" s="233"/>
    </row>
    <row r="118" spans="3:36">
      <c r="C118" s="161">
        <f t="shared" si="50"/>
        <v>2019</v>
      </c>
      <c r="D118" s="35" t="s">
        <v>261</v>
      </c>
      <c r="E118" s="227">
        <v>43739</v>
      </c>
      <c r="F118" s="156">
        <v>147659.82</v>
      </c>
      <c r="G118" s="131">
        <f t="shared" si="51"/>
        <v>26460.639744</v>
      </c>
      <c r="H118" s="156">
        <v>891.86</v>
      </c>
      <c r="I118" s="156">
        <v>3622.66</v>
      </c>
      <c r="J118" s="156">
        <v>445.35</v>
      </c>
      <c r="K118" s="131">
        <f t="shared" si="52"/>
        <v>4959.87</v>
      </c>
      <c r="L118" s="134">
        <v>0.1792</v>
      </c>
      <c r="AJ118" s="233"/>
    </row>
    <row r="119" spans="3:36">
      <c r="C119" s="161">
        <f t="shared" si="50"/>
        <v>2019</v>
      </c>
      <c r="D119" s="35" t="s">
        <v>261</v>
      </c>
      <c r="E119" s="227">
        <v>43770</v>
      </c>
      <c r="F119" s="156">
        <v>134799.46</v>
      </c>
      <c r="G119" s="131">
        <f t="shared" si="51"/>
        <v>24156.063231999997</v>
      </c>
      <c r="H119" s="156">
        <v>0</v>
      </c>
      <c r="I119" s="156">
        <v>5322.85</v>
      </c>
      <c r="J119" s="156">
        <v>2098.4899999999998</v>
      </c>
      <c r="K119" s="131">
        <f t="shared" si="52"/>
        <v>7421.34</v>
      </c>
      <c r="L119" s="134">
        <v>0.1792</v>
      </c>
      <c r="AJ119" s="233"/>
    </row>
    <row r="120" spans="3:36">
      <c r="C120" s="161">
        <f t="shared" si="50"/>
        <v>2019</v>
      </c>
      <c r="D120" s="35" t="s">
        <v>261</v>
      </c>
      <c r="E120" s="227">
        <v>43800</v>
      </c>
      <c r="F120" s="156">
        <v>131274.71</v>
      </c>
      <c r="G120" s="131">
        <f t="shared" si="51"/>
        <v>23524.428032</v>
      </c>
      <c r="H120" s="156">
        <v>448.31</v>
      </c>
      <c r="I120" s="156">
        <v>1830.59</v>
      </c>
      <c r="J120" s="156">
        <v>0</v>
      </c>
      <c r="K120" s="131">
        <f t="shared" si="52"/>
        <v>2278.9</v>
      </c>
      <c r="L120" s="134">
        <v>0.1792</v>
      </c>
      <c r="AJ120" s="233"/>
    </row>
    <row r="121" spans="3:36">
      <c r="C121" s="161">
        <f t="shared" si="50"/>
        <v>2020</v>
      </c>
      <c r="D121" s="35" t="s">
        <v>261</v>
      </c>
      <c r="E121" s="227">
        <v>43831</v>
      </c>
      <c r="F121" s="156">
        <v>133133.37</v>
      </c>
      <c r="G121" s="131">
        <f t="shared" si="51"/>
        <v>23857.499904</v>
      </c>
      <c r="H121" s="156">
        <v>146168.85999999999</v>
      </c>
      <c r="I121" s="156">
        <v>1561.35</v>
      </c>
      <c r="J121" s="156">
        <v>0</v>
      </c>
      <c r="K121" s="131">
        <f t="shared" si="52"/>
        <v>147730.21</v>
      </c>
      <c r="L121" s="134">
        <v>0.1792</v>
      </c>
      <c r="AJ121" s="233"/>
    </row>
    <row r="122" spans="3:36">
      <c r="C122" s="161">
        <f t="shared" si="50"/>
        <v>2020</v>
      </c>
      <c r="D122" s="35" t="s">
        <v>261</v>
      </c>
      <c r="E122" s="227">
        <v>43862</v>
      </c>
      <c r="F122" s="156">
        <v>131228.01999999999</v>
      </c>
      <c r="G122" s="131">
        <f t="shared" si="51"/>
        <v>23516.061183999998</v>
      </c>
      <c r="H122" s="156">
        <v>172374.15</v>
      </c>
      <c r="I122" s="156">
        <v>3674.13</v>
      </c>
      <c r="J122" s="156">
        <v>0</v>
      </c>
      <c r="K122" s="131">
        <f t="shared" si="52"/>
        <v>176048.28</v>
      </c>
      <c r="L122" s="134">
        <v>0.1792</v>
      </c>
      <c r="AJ122" s="233"/>
    </row>
    <row r="123" spans="3:36">
      <c r="C123" s="161">
        <f t="shared" si="50"/>
        <v>2020</v>
      </c>
      <c r="D123" s="35" t="s">
        <v>261</v>
      </c>
      <c r="E123" s="227">
        <v>43891</v>
      </c>
      <c r="F123" s="156">
        <v>123827.40397499999</v>
      </c>
      <c r="G123" s="131">
        <f t="shared" si="51"/>
        <v>22189.870792319998</v>
      </c>
      <c r="H123" s="156">
        <v>50141.86</v>
      </c>
      <c r="I123" s="156">
        <v>0</v>
      </c>
      <c r="J123" s="156">
        <v>0</v>
      </c>
      <c r="K123" s="131">
        <f t="shared" si="52"/>
        <v>50141.86</v>
      </c>
      <c r="L123" s="134">
        <v>0.1792</v>
      </c>
      <c r="AJ123" s="233"/>
    </row>
    <row r="124" spans="3:36">
      <c r="C124" s="161">
        <f t="shared" si="50"/>
        <v>2020</v>
      </c>
      <c r="D124" s="35" t="s">
        <v>261</v>
      </c>
      <c r="E124" s="227">
        <v>43922</v>
      </c>
      <c r="F124" s="156">
        <v>139167.874725</v>
      </c>
      <c r="G124" s="131">
        <f t="shared" si="51"/>
        <v>24938.883150720001</v>
      </c>
      <c r="H124" s="156">
        <v>191556.32</v>
      </c>
      <c r="I124" s="156">
        <v>4699.66</v>
      </c>
      <c r="J124" s="156">
        <v>0</v>
      </c>
      <c r="K124" s="131">
        <f t="shared" si="52"/>
        <v>196255.98</v>
      </c>
      <c r="L124" s="134">
        <v>0.1792</v>
      </c>
      <c r="AJ124" s="233"/>
    </row>
    <row r="125" spans="3:36">
      <c r="C125" s="161">
        <f t="shared" si="50"/>
        <v>2020</v>
      </c>
      <c r="D125" s="35" t="s">
        <v>261</v>
      </c>
      <c r="E125" s="227">
        <v>43952</v>
      </c>
      <c r="F125" s="156">
        <v>139033.15</v>
      </c>
      <c r="G125" s="131">
        <f t="shared" si="51"/>
        <v>24914.74048</v>
      </c>
      <c r="H125" s="156">
        <v>135847.56</v>
      </c>
      <c r="I125" s="156">
        <v>5169.17</v>
      </c>
      <c r="J125" s="156">
        <v>0</v>
      </c>
      <c r="K125" s="131">
        <f t="shared" si="52"/>
        <v>141016.73000000001</v>
      </c>
      <c r="L125" s="134">
        <v>0.1792</v>
      </c>
      <c r="AJ125" s="233"/>
    </row>
    <row r="126" spans="3:36">
      <c r="C126" s="161">
        <f t="shared" si="50"/>
        <v>2020</v>
      </c>
      <c r="D126" s="35" t="s">
        <v>261</v>
      </c>
      <c r="E126" s="227">
        <v>43983</v>
      </c>
      <c r="F126" s="156">
        <v>128702.44</v>
      </c>
      <c r="G126" s="131">
        <f t="shared" si="51"/>
        <v>23063.477247999999</v>
      </c>
      <c r="H126" s="156">
        <v>74414.009999999995</v>
      </c>
      <c r="I126" s="156">
        <v>5169.71</v>
      </c>
      <c r="J126" s="156">
        <v>0</v>
      </c>
      <c r="K126" s="131">
        <f t="shared" si="52"/>
        <v>79583.72</v>
      </c>
      <c r="L126" s="134">
        <v>0.1792</v>
      </c>
      <c r="AJ126" s="233"/>
    </row>
    <row r="127" spans="3:36">
      <c r="C127" s="161">
        <f t="shared" si="50"/>
        <v>2020</v>
      </c>
      <c r="D127" s="35" t="s">
        <v>261</v>
      </c>
      <c r="E127" s="227">
        <v>44013</v>
      </c>
      <c r="F127" s="156">
        <v>137522.37</v>
      </c>
      <c r="G127" s="131">
        <f t="shared" si="51"/>
        <v>24644.008704</v>
      </c>
      <c r="H127" s="156">
        <v>0</v>
      </c>
      <c r="I127" s="156">
        <v>3115.67</v>
      </c>
      <c r="J127" s="156">
        <v>0</v>
      </c>
      <c r="K127" s="131">
        <f t="shared" si="52"/>
        <v>3115.67</v>
      </c>
      <c r="L127" s="134">
        <v>0.1792</v>
      </c>
      <c r="AJ127" s="233"/>
    </row>
    <row r="128" spans="3:36">
      <c r="C128" s="161">
        <f t="shared" si="50"/>
        <v>2020</v>
      </c>
      <c r="D128" s="35" t="s">
        <v>261</v>
      </c>
      <c r="E128" s="227">
        <v>44044</v>
      </c>
      <c r="F128" s="156">
        <v>153731.70000000001</v>
      </c>
      <c r="G128" s="131">
        <f t="shared" si="51"/>
        <v>27548.720640000003</v>
      </c>
      <c r="H128" s="156">
        <v>110698.48</v>
      </c>
      <c r="I128" s="156">
        <v>28979.67</v>
      </c>
      <c r="J128" s="156">
        <v>414.33</v>
      </c>
      <c r="K128" s="131">
        <f t="shared" si="52"/>
        <v>140092.47999999998</v>
      </c>
      <c r="L128" s="134">
        <v>0.1792</v>
      </c>
      <c r="AJ128" s="233"/>
    </row>
    <row r="129" spans="3:36">
      <c r="C129" s="161">
        <f t="shared" si="50"/>
        <v>2020</v>
      </c>
      <c r="D129" s="35" t="s">
        <v>261</v>
      </c>
      <c r="E129" s="227">
        <v>44075</v>
      </c>
      <c r="F129" s="156">
        <v>168044.06</v>
      </c>
      <c r="G129" s="131">
        <f t="shared" si="51"/>
        <v>30113.495552</v>
      </c>
      <c r="H129" s="156">
        <v>63157.279999999999</v>
      </c>
      <c r="I129" s="156">
        <v>13993.28</v>
      </c>
      <c r="J129" s="156">
        <v>0</v>
      </c>
      <c r="K129" s="131">
        <f t="shared" si="52"/>
        <v>77150.559999999998</v>
      </c>
      <c r="L129" s="134">
        <v>0.1792</v>
      </c>
      <c r="AJ129" s="233"/>
    </row>
    <row r="130" spans="3:36">
      <c r="C130" s="161">
        <f t="shared" si="50"/>
        <v>2020</v>
      </c>
      <c r="D130" s="35" t="s">
        <v>261</v>
      </c>
      <c r="E130" s="227">
        <v>44105</v>
      </c>
      <c r="F130" s="156">
        <v>180857.83</v>
      </c>
      <c r="G130" s="131">
        <f t="shared" si="51"/>
        <v>32409.723135999997</v>
      </c>
      <c r="H130" s="156">
        <v>0</v>
      </c>
      <c r="I130" s="156">
        <v>7430.81</v>
      </c>
      <c r="J130" s="156">
        <v>0</v>
      </c>
      <c r="K130" s="131">
        <f t="shared" si="52"/>
        <v>7430.81</v>
      </c>
      <c r="L130" s="134">
        <v>0.1792</v>
      </c>
      <c r="AJ130" s="233"/>
    </row>
    <row r="131" spans="3:36">
      <c r="C131" s="161">
        <f t="shared" si="50"/>
        <v>2020</v>
      </c>
      <c r="D131" s="35" t="s">
        <v>261</v>
      </c>
      <c r="E131" s="227">
        <v>44136</v>
      </c>
      <c r="F131" s="156">
        <v>154816.15</v>
      </c>
      <c r="G131" s="131">
        <f t="shared" si="51"/>
        <v>27743.054079999998</v>
      </c>
      <c r="H131" s="156">
        <v>8566.41</v>
      </c>
      <c r="I131" s="156">
        <v>8524.83</v>
      </c>
      <c r="J131" s="156">
        <v>0</v>
      </c>
      <c r="K131" s="131">
        <f t="shared" si="52"/>
        <v>17091.239999999998</v>
      </c>
      <c r="L131" s="134">
        <v>0.1792</v>
      </c>
      <c r="AJ131" s="233"/>
    </row>
    <row r="132" spans="3:36">
      <c r="C132" s="161">
        <f t="shared" ref="C132:C195" si="57">YEAR(E132)</f>
        <v>2020</v>
      </c>
      <c r="D132" s="35" t="s">
        <v>261</v>
      </c>
      <c r="E132" s="227">
        <v>44166</v>
      </c>
      <c r="F132" s="156">
        <v>151684.64000000001</v>
      </c>
      <c r="G132" s="131">
        <f t="shared" ref="G132:G195" si="58">F132*L132</f>
        <v>27181.887488000004</v>
      </c>
      <c r="H132" s="156">
        <v>1222.51</v>
      </c>
      <c r="I132" s="156">
        <v>14008.18</v>
      </c>
      <c r="J132" s="156">
        <v>0</v>
      </c>
      <c r="K132" s="131">
        <f t="shared" ref="K132:K195" si="59">SUM(H132:J132)</f>
        <v>15230.69</v>
      </c>
      <c r="L132" s="134">
        <v>0.1792</v>
      </c>
      <c r="AJ132" s="233"/>
    </row>
    <row r="133" spans="3:36">
      <c r="C133" s="161">
        <f t="shared" si="57"/>
        <v>2021</v>
      </c>
      <c r="D133" s="35" t="s">
        <v>261</v>
      </c>
      <c r="E133" s="227">
        <v>44197</v>
      </c>
      <c r="F133" s="156">
        <v>161203.06</v>
      </c>
      <c r="G133" s="131">
        <f t="shared" si="58"/>
        <v>28887.588351999999</v>
      </c>
      <c r="H133" s="156">
        <v>481.89</v>
      </c>
      <c r="I133" s="156">
        <v>242.85</v>
      </c>
      <c r="J133" s="156">
        <v>0</v>
      </c>
      <c r="K133" s="131">
        <f t="shared" si="59"/>
        <v>724.74</v>
      </c>
      <c r="L133" s="134">
        <v>0.1792</v>
      </c>
      <c r="AJ133" s="233"/>
    </row>
    <row r="134" spans="3:36">
      <c r="C134" s="161">
        <f t="shared" si="57"/>
        <v>2021</v>
      </c>
      <c r="D134" s="35" t="s">
        <v>261</v>
      </c>
      <c r="E134" s="227">
        <v>44229</v>
      </c>
      <c r="F134" s="156">
        <v>146688.29999999999</v>
      </c>
      <c r="G134" s="131">
        <f t="shared" si="58"/>
        <v>26286.543359999996</v>
      </c>
      <c r="H134" s="156">
        <v>2687.65</v>
      </c>
      <c r="I134" s="156">
        <v>15718.26</v>
      </c>
      <c r="J134" s="156">
        <v>0</v>
      </c>
      <c r="K134" s="131">
        <f t="shared" si="59"/>
        <v>18405.91</v>
      </c>
      <c r="L134" s="134">
        <v>0.1792</v>
      </c>
      <c r="AJ134" s="233"/>
    </row>
    <row r="135" spans="3:36">
      <c r="C135" s="161">
        <f t="shared" si="57"/>
        <v>2021</v>
      </c>
      <c r="D135" s="35" t="s">
        <v>261</v>
      </c>
      <c r="E135" s="227">
        <v>44258</v>
      </c>
      <c r="F135" s="156">
        <v>135511.16</v>
      </c>
      <c r="G135" s="131">
        <f t="shared" si="58"/>
        <v>24283.599871999999</v>
      </c>
      <c r="H135" s="156">
        <v>3621.83</v>
      </c>
      <c r="I135" s="156">
        <v>15459.88</v>
      </c>
      <c r="J135" s="156">
        <v>0</v>
      </c>
      <c r="K135" s="131">
        <f t="shared" si="59"/>
        <v>19081.71</v>
      </c>
      <c r="L135" s="134">
        <v>0.1792</v>
      </c>
      <c r="AJ135" s="233"/>
    </row>
    <row r="136" spans="3:36">
      <c r="C136" s="161">
        <f t="shared" si="57"/>
        <v>2021</v>
      </c>
      <c r="D136" s="35" t="s">
        <v>261</v>
      </c>
      <c r="E136" s="227">
        <v>44290</v>
      </c>
      <c r="F136" s="156">
        <v>151843.92000000001</v>
      </c>
      <c r="G136" s="131">
        <f t="shared" si="58"/>
        <v>27210.430464000001</v>
      </c>
      <c r="H136" s="156">
        <v>405.22</v>
      </c>
      <c r="I136" s="156">
        <v>0</v>
      </c>
      <c r="J136" s="156">
        <v>0</v>
      </c>
      <c r="K136" s="131">
        <f t="shared" si="59"/>
        <v>405.22</v>
      </c>
      <c r="L136" s="134">
        <v>0.1792</v>
      </c>
      <c r="AJ136" s="233"/>
    </row>
    <row r="137" spans="3:36">
      <c r="C137" s="161">
        <f t="shared" si="57"/>
        <v>2021</v>
      </c>
      <c r="D137" s="35" t="s">
        <v>261</v>
      </c>
      <c r="E137" s="227">
        <v>44321</v>
      </c>
      <c r="F137" s="156">
        <v>152574.68</v>
      </c>
      <c r="G137" s="131">
        <f t="shared" si="58"/>
        <v>27341.382655999998</v>
      </c>
      <c r="H137" s="156">
        <v>0</v>
      </c>
      <c r="I137" s="156">
        <v>0</v>
      </c>
      <c r="J137" s="156">
        <v>0</v>
      </c>
      <c r="K137" s="131">
        <f t="shared" si="59"/>
        <v>0</v>
      </c>
      <c r="L137" s="134">
        <v>0.1792</v>
      </c>
      <c r="AJ137" s="233"/>
    </row>
    <row r="138" spans="3:36">
      <c r="C138" s="161">
        <f t="shared" si="57"/>
        <v>2021</v>
      </c>
      <c r="D138" s="35" t="s">
        <v>261</v>
      </c>
      <c r="E138" s="227">
        <v>44353</v>
      </c>
      <c r="F138" s="156">
        <v>151101.41</v>
      </c>
      <c r="G138" s="131">
        <f t="shared" si="58"/>
        <v>27077.372672000001</v>
      </c>
      <c r="H138" s="156">
        <v>5630.41</v>
      </c>
      <c r="I138" s="156">
        <v>0</v>
      </c>
      <c r="J138" s="156">
        <v>0</v>
      </c>
      <c r="K138" s="131">
        <f t="shared" si="59"/>
        <v>5630.41</v>
      </c>
      <c r="L138" s="134">
        <v>0.1792</v>
      </c>
      <c r="AJ138" s="233"/>
    </row>
    <row r="139" spans="3:36">
      <c r="C139" s="161">
        <f t="shared" si="57"/>
        <v>2015</v>
      </c>
      <c r="D139" s="35" t="s">
        <v>262</v>
      </c>
      <c r="E139" s="227">
        <v>42309</v>
      </c>
      <c r="F139" s="156">
        <v>591195.26</v>
      </c>
      <c r="G139" s="131">
        <f t="shared" si="58"/>
        <v>105942.190592</v>
      </c>
      <c r="H139" s="156">
        <v>7760.96</v>
      </c>
      <c r="I139" s="156">
        <v>6573.13</v>
      </c>
      <c r="J139" s="156">
        <v>0</v>
      </c>
      <c r="K139" s="131">
        <f t="shared" si="59"/>
        <v>14334.09</v>
      </c>
      <c r="L139" s="134">
        <v>0.1792</v>
      </c>
      <c r="AJ139" s="233"/>
    </row>
    <row r="140" spans="3:36">
      <c r="C140" s="161">
        <f t="shared" si="57"/>
        <v>2015</v>
      </c>
      <c r="D140" s="35" t="s">
        <v>262</v>
      </c>
      <c r="E140" s="227">
        <v>42339</v>
      </c>
      <c r="F140" s="156">
        <v>574692.87</v>
      </c>
      <c r="G140" s="131">
        <f t="shared" si="58"/>
        <v>102984.962304</v>
      </c>
      <c r="H140" s="156">
        <v>5592.21</v>
      </c>
      <c r="I140" s="156">
        <v>6543.96</v>
      </c>
      <c r="J140" s="156">
        <v>0</v>
      </c>
      <c r="K140" s="131">
        <f t="shared" si="59"/>
        <v>12136.17</v>
      </c>
      <c r="L140" s="134">
        <v>0.1792</v>
      </c>
      <c r="AJ140" s="233"/>
    </row>
    <row r="141" spans="3:36">
      <c r="C141" s="161">
        <f t="shared" si="57"/>
        <v>2016</v>
      </c>
      <c r="D141" s="35" t="s">
        <v>262</v>
      </c>
      <c r="E141" s="227">
        <v>42370</v>
      </c>
      <c r="F141" s="156">
        <v>616195.04</v>
      </c>
      <c r="G141" s="131">
        <f t="shared" si="58"/>
        <v>110422.15116800001</v>
      </c>
      <c r="H141" s="156">
        <v>4152.3599999999997</v>
      </c>
      <c r="I141" s="156">
        <v>385037.89</v>
      </c>
      <c r="J141" s="156">
        <v>0</v>
      </c>
      <c r="K141" s="131">
        <f t="shared" si="59"/>
        <v>389190.25</v>
      </c>
      <c r="L141" s="134">
        <v>0.1792</v>
      </c>
      <c r="AJ141" s="233"/>
    </row>
    <row r="142" spans="3:36">
      <c r="C142" s="161">
        <f t="shared" si="57"/>
        <v>2016</v>
      </c>
      <c r="D142" s="35" t="s">
        <v>262</v>
      </c>
      <c r="E142" s="227">
        <v>42401</v>
      </c>
      <c r="F142" s="156">
        <v>609877.69999999995</v>
      </c>
      <c r="G142" s="131">
        <f t="shared" si="58"/>
        <v>109290.08383999999</v>
      </c>
      <c r="H142" s="156">
        <v>3466.47</v>
      </c>
      <c r="I142" s="156">
        <v>4450.84</v>
      </c>
      <c r="J142" s="156">
        <v>1868.78</v>
      </c>
      <c r="K142" s="131">
        <f t="shared" si="59"/>
        <v>9786.09</v>
      </c>
      <c r="L142" s="134">
        <v>0.1792</v>
      </c>
      <c r="AJ142" s="233"/>
    </row>
    <row r="143" spans="3:36">
      <c r="C143" s="161">
        <f t="shared" si="57"/>
        <v>2016</v>
      </c>
      <c r="D143" s="35" t="s">
        <v>262</v>
      </c>
      <c r="E143" s="227">
        <v>42430</v>
      </c>
      <c r="F143" s="156">
        <v>612210.51</v>
      </c>
      <c r="G143" s="131">
        <f t="shared" si="58"/>
        <v>109708.12339199999</v>
      </c>
      <c r="H143" s="156">
        <v>3290.35</v>
      </c>
      <c r="I143" s="156">
        <v>8998.01</v>
      </c>
      <c r="J143" s="156">
        <v>0</v>
      </c>
      <c r="K143" s="131">
        <f t="shared" si="59"/>
        <v>12288.36</v>
      </c>
      <c r="L143" s="134">
        <v>0.1792</v>
      </c>
      <c r="AJ143" s="233"/>
    </row>
    <row r="144" spans="3:36">
      <c r="C144" s="161">
        <f t="shared" si="57"/>
        <v>2016</v>
      </c>
      <c r="D144" s="35" t="s">
        <v>262</v>
      </c>
      <c r="E144" s="227">
        <v>42461</v>
      </c>
      <c r="F144" s="156">
        <v>637923.43000000005</v>
      </c>
      <c r="G144" s="131">
        <f t="shared" si="58"/>
        <v>114315.878656</v>
      </c>
      <c r="H144" s="156">
        <v>8921.7800000000007</v>
      </c>
      <c r="I144" s="156">
        <v>78505.789999999994</v>
      </c>
      <c r="J144" s="156">
        <v>0</v>
      </c>
      <c r="K144" s="131">
        <f t="shared" si="59"/>
        <v>87427.569999999992</v>
      </c>
      <c r="L144" s="134">
        <v>0.1792</v>
      </c>
      <c r="AJ144" s="233"/>
    </row>
    <row r="145" spans="3:36">
      <c r="C145" s="161">
        <f t="shared" si="57"/>
        <v>2016</v>
      </c>
      <c r="D145" s="35" t="s">
        <v>262</v>
      </c>
      <c r="E145" s="227">
        <v>42491</v>
      </c>
      <c r="F145" s="156">
        <v>580706.89</v>
      </c>
      <c r="G145" s="131">
        <f t="shared" si="58"/>
        <v>104062.674688</v>
      </c>
      <c r="H145" s="156">
        <v>17207.099999999999</v>
      </c>
      <c r="I145" s="156">
        <v>5346.16</v>
      </c>
      <c r="J145" s="156">
        <v>0</v>
      </c>
      <c r="K145" s="131">
        <f t="shared" si="59"/>
        <v>22553.26</v>
      </c>
      <c r="L145" s="134">
        <v>0.1792</v>
      </c>
      <c r="AJ145" s="233"/>
    </row>
    <row r="146" spans="3:36">
      <c r="C146" s="161">
        <f t="shared" si="57"/>
        <v>2016</v>
      </c>
      <c r="D146" s="35" t="s">
        <v>262</v>
      </c>
      <c r="E146" s="227">
        <v>42522</v>
      </c>
      <c r="F146" s="156">
        <v>550995.92000000004</v>
      </c>
      <c r="G146" s="131">
        <f t="shared" si="58"/>
        <v>98738.468864000009</v>
      </c>
      <c r="H146" s="156">
        <v>3512.78</v>
      </c>
      <c r="I146" s="156">
        <v>8771.65</v>
      </c>
      <c r="J146" s="156">
        <v>4295.3500000000004</v>
      </c>
      <c r="K146" s="131">
        <f t="shared" si="59"/>
        <v>16579.78</v>
      </c>
      <c r="L146" s="134">
        <v>0.1792</v>
      </c>
      <c r="AJ146" s="233"/>
    </row>
    <row r="147" spans="3:36">
      <c r="C147" s="161">
        <f t="shared" si="57"/>
        <v>2016</v>
      </c>
      <c r="D147" s="35" t="s">
        <v>262</v>
      </c>
      <c r="E147" s="227">
        <v>42552</v>
      </c>
      <c r="F147" s="156">
        <v>608671.88</v>
      </c>
      <c r="G147" s="131">
        <f t="shared" si="58"/>
        <v>109074.000896</v>
      </c>
      <c r="H147" s="156">
        <v>2529.83</v>
      </c>
      <c r="I147" s="156">
        <v>25567.919999999998</v>
      </c>
      <c r="J147" s="156">
        <v>0</v>
      </c>
      <c r="K147" s="131">
        <f t="shared" si="59"/>
        <v>28097.75</v>
      </c>
      <c r="L147" s="134">
        <v>0.1792</v>
      </c>
      <c r="AJ147" s="233"/>
    </row>
    <row r="148" spans="3:36">
      <c r="C148" s="161">
        <f t="shared" si="57"/>
        <v>2016</v>
      </c>
      <c r="D148" s="35" t="s">
        <v>262</v>
      </c>
      <c r="E148" s="227">
        <v>42583</v>
      </c>
      <c r="F148" s="156">
        <v>631100.43999999994</v>
      </c>
      <c r="G148" s="131">
        <f t="shared" si="58"/>
        <v>113093.19884799999</v>
      </c>
      <c r="H148" s="156">
        <v>10984.39</v>
      </c>
      <c r="I148" s="156">
        <v>4564.47</v>
      </c>
      <c r="J148" s="156">
        <v>0</v>
      </c>
      <c r="K148" s="131">
        <f t="shared" si="59"/>
        <v>15548.86</v>
      </c>
      <c r="L148" s="134">
        <v>0.1792</v>
      </c>
      <c r="AJ148" s="233"/>
    </row>
    <row r="149" spans="3:36">
      <c r="C149" s="161">
        <f t="shared" si="57"/>
        <v>2016</v>
      </c>
      <c r="D149" s="35" t="s">
        <v>262</v>
      </c>
      <c r="E149" s="227">
        <v>42614</v>
      </c>
      <c r="F149" s="156">
        <v>620008.46</v>
      </c>
      <c r="G149" s="131">
        <f t="shared" si="58"/>
        <v>111105.51603199998</v>
      </c>
      <c r="H149" s="156">
        <v>16303.37</v>
      </c>
      <c r="I149" s="156">
        <v>4980.62</v>
      </c>
      <c r="J149" s="156">
        <v>0</v>
      </c>
      <c r="K149" s="131">
        <f t="shared" si="59"/>
        <v>21283.99</v>
      </c>
      <c r="L149" s="134">
        <v>0.1792</v>
      </c>
      <c r="AJ149" s="233"/>
    </row>
    <row r="150" spans="3:36">
      <c r="C150" s="161">
        <f t="shared" si="57"/>
        <v>2016</v>
      </c>
      <c r="D150" s="35" t="s">
        <v>262</v>
      </c>
      <c r="E150" s="227">
        <v>42644</v>
      </c>
      <c r="F150" s="156">
        <v>656666.72</v>
      </c>
      <c r="G150" s="131">
        <f t="shared" si="58"/>
        <v>117674.676224</v>
      </c>
      <c r="H150" s="156">
        <v>14039.85</v>
      </c>
      <c r="I150" s="156">
        <v>152.1</v>
      </c>
      <c r="J150" s="156">
        <v>0</v>
      </c>
      <c r="K150" s="131">
        <f t="shared" si="59"/>
        <v>14191.95</v>
      </c>
      <c r="L150" s="134">
        <v>0.1792</v>
      </c>
      <c r="AJ150" s="233"/>
    </row>
    <row r="151" spans="3:36">
      <c r="C151" s="161">
        <f t="shared" si="57"/>
        <v>2016</v>
      </c>
      <c r="D151" s="35" t="s">
        <v>262</v>
      </c>
      <c r="E151" s="227">
        <v>42675</v>
      </c>
      <c r="F151" s="156">
        <v>695183.84</v>
      </c>
      <c r="G151" s="131">
        <f t="shared" si="58"/>
        <v>124576.94412799999</v>
      </c>
      <c r="H151" s="156">
        <v>10827.21</v>
      </c>
      <c r="I151" s="156">
        <v>5415.83</v>
      </c>
      <c r="J151" s="156">
        <v>0</v>
      </c>
      <c r="K151" s="131">
        <f t="shared" si="59"/>
        <v>16243.039999999999</v>
      </c>
      <c r="L151" s="134">
        <v>0.1792</v>
      </c>
      <c r="AJ151" s="233"/>
    </row>
    <row r="152" spans="3:36">
      <c r="C152" s="161">
        <f t="shared" si="57"/>
        <v>2016</v>
      </c>
      <c r="D152" s="35" t="s">
        <v>262</v>
      </c>
      <c r="E152" s="227">
        <v>42705</v>
      </c>
      <c r="F152" s="156">
        <v>657662.27</v>
      </c>
      <c r="G152" s="131">
        <f t="shared" si="58"/>
        <v>117853.078784</v>
      </c>
      <c r="H152" s="156">
        <v>1096.31</v>
      </c>
      <c r="I152" s="156">
        <v>2437.73</v>
      </c>
      <c r="J152" s="156">
        <v>974.2</v>
      </c>
      <c r="K152" s="131">
        <f t="shared" si="59"/>
        <v>4508.24</v>
      </c>
      <c r="L152" s="134">
        <v>0.1792</v>
      </c>
      <c r="AJ152" s="233"/>
    </row>
    <row r="153" spans="3:36">
      <c r="C153" s="161">
        <f t="shared" si="57"/>
        <v>2017</v>
      </c>
      <c r="D153" s="35" t="s">
        <v>262</v>
      </c>
      <c r="E153" s="227">
        <v>42736</v>
      </c>
      <c r="F153" s="156">
        <v>731025.2</v>
      </c>
      <c r="G153" s="131">
        <f t="shared" si="58"/>
        <v>130999.71583999999</v>
      </c>
      <c r="H153" s="156">
        <v>3366.83</v>
      </c>
      <c r="I153" s="156">
        <v>2123.2399999999998</v>
      </c>
      <c r="J153" s="156">
        <v>3819.01</v>
      </c>
      <c r="K153" s="131">
        <f t="shared" si="59"/>
        <v>9309.08</v>
      </c>
      <c r="L153" s="134">
        <v>0.1792</v>
      </c>
      <c r="AJ153" s="233"/>
    </row>
    <row r="154" spans="3:36">
      <c r="C154" s="161">
        <f t="shared" si="57"/>
        <v>2017</v>
      </c>
      <c r="D154" s="35" t="s">
        <v>262</v>
      </c>
      <c r="E154" s="227">
        <v>42767</v>
      </c>
      <c r="F154" s="156">
        <v>675753.24959999998</v>
      </c>
      <c r="G154" s="131">
        <f t="shared" si="58"/>
        <v>121094.98232831999</v>
      </c>
      <c r="H154" s="156">
        <v>2879.68</v>
      </c>
      <c r="I154" s="156">
        <v>55015.53</v>
      </c>
      <c r="J154" s="156">
        <v>0</v>
      </c>
      <c r="K154" s="131">
        <f t="shared" si="59"/>
        <v>57895.21</v>
      </c>
      <c r="L154" s="134">
        <v>0.1792</v>
      </c>
      <c r="AJ154" s="233"/>
    </row>
    <row r="155" spans="3:36">
      <c r="C155" s="161">
        <f t="shared" si="57"/>
        <v>2017</v>
      </c>
      <c r="D155" s="35" t="s">
        <v>262</v>
      </c>
      <c r="E155" s="227">
        <v>42795</v>
      </c>
      <c r="F155" s="156">
        <v>641856.31999999995</v>
      </c>
      <c r="G155" s="131">
        <f t="shared" si="58"/>
        <v>115020.652544</v>
      </c>
      <c r="H155" s="156">
        <v>3467.28</v>
      </c>
      <c r="I155" s="156">
        <v>2345.64</v>
      </c>
      <c r="J155" s="156">
        <v>1271</v>
      </c>
      <c r="K155" s="131">
        <f t="shared" si="59"/>
        <v>7083.92</v>
      </c>
      <c r="L155" s="134">
        <v>0.1792</v>
      </c>
      <c r="AJ155" s="233"/>
    </row>
    <row r="156" spans="3:36">
      <c r="C156" s="161">
        <f t="shared" si="57"/>
        <v>2017</v>
      </c>
      <c r="D156" s="35" t="s">
        <v>262</v>
      </c>
      <c r="E156" s="227">
        <v>42826</v>
      </c>
      <c r="F156" s="156">
        <v>657507.12</v>
      </c>
      <c r="G156" s="131">
        <f t="shared" si="58"/>
        <v>117825.27590399999</v>
      </c>
      <c r="H156" s="156">
        <v>2587.63</v>
      </c>
      <c r="I156" s="156">
        <v>3845.6</v>
      </c>
      <c r="J156" s="156">
        <v>0</v>
      </c>
      <c r="K156" s="131">
        <f t="shared" si="59"/>
        <v>6433.23</v>
      </c>
      <c r="L156" s="134">
        <v>0.1792</v>
      </c>
      <c r="AJ156" s="233"/>
    </row>
    <row r="157" spans="3:36">
      <c r="C157" s="161">
        <f t="shared" si="57"/>
        <v>2017</v>
      </c>
      <c r="D157" s="35" t="s">
        <v>262</v>
      </c>
      <c r="E157" s="227">
        <v>42856</v>
      </c>
      <c r="F157" s="156">
        <v>624741.98</v>
      </c>
      <c r="G157" s="131">
        <f t="shared" si="58"/>
        <v>111953.762816</v>
      </c>
      <c r="H157" s="156">
        <v>2379.2399999999998</v>
      </c>
      <c r="I157" s="156">
        <v>235</v>
      </c>
      <c r="J157" s="156">
        <v>0</v>
      </c>
      <c r="K157" s="131">
        <f t="shared" si="59"/>
        <v>2614.2399999999998</v>
      </c>
      <c r="L157" s="134">
        <v>0.1792</v>
      </c>
      <c r="AJ157" s="233"/>
    </row>
    <row r="158" spans="3:36">
      <c r="C158" s="161">
        <f t="shared" si="57"/>
        <v>2017</v>
      </c>
      <c r="D158" s="35" t="s">
        <v>262</v>
      </c>
      <c r="E158" s="227">
        <v>42887</v>
      </c>
      <c r="F158" s="156">
        <v>637249.48</v>
      </c>
      <c r="G158" s="131">
        <f t="shared" si="58"/>
        <v>114195.106816</v>
      </c>
      <c r="H158" s="156">
        <v>2684.13</v>
      </c>
      <c r="I158" s="156">
        <v>6949.62</v>
      </c>
      <c r="J158" s="156">
        <v>0</v>
      </c>
      <c r="K158" s="131">
        <f t="shared" si="59"/>
        <v>9633.75</v>
      </c>
      <c r="L158" s="134">
        <v>0.1792</v>
      </c>
      <c r="AJ158" s="233"/>
    </row>
    <row r="159" spans="3:36">
      <c r="C159" s="161">
        <f t="shared" si="57"/>
        <v>2017</v>
      </c>
      <c r="D159" s="35" t="s">
        <v>262</v>
      </c>
      <c r="E159" s="227">
        <v>42917</v>
      </c>
      <c r="F159" s="156">
        <v>646404.39</v>
      </c>
      <c r="G159" s="131">
        <f t="shared" si="58"/>
        <v>115835.666688</v>
      </c>
      <c r="H159" s="156">
        <v>4719.6400000000003</v>
      </c>
      <c r="I159" s="156">
        <v>5002.0200000000004</v>
      </c>
      <c r="J159" s="156">
        <v>1250</v>
      </c>
      <c r="K159" s="131">
        <f t="shared" si="59"/>
        <v>10971.66</v>
      </c>
      <c r="L159" s="134">
        <v>0.1792</v>
      </c>
      <c r="AJ159" s="233"/>
    </row>
    <row r="160" spans="3:36">
      <c r="C160" s="161">
        <f t="shared" si="57"/>
        <v>2017</v>
      </c>
      <c r="D160" s="35" t="s">
        <v>262</v>
      </c>
      <c r="E160" s="227">
        <v>42948</v>
      </c>
      <c r="F160" s="156">
        <v>694135.78</v>
      </c>
      <c r="G160" s="131">
        <f t="shared" si="58"/>
        <v>124389.13177600001</v>
      </c>
      <c r="H160" s="156">
        <v>6526</v>
      </c>
      <c r="I160" s="156">
        <v>0</v>
      </c>
      <c r="J160" s="156">
        <v>0</v>
      </c>
      <c r="K160" s="131">
        <f t="shared" si="59"/>
        <v>6526</v>
      </c>
      <c r="L160" s="134">
        <v>0.1792</v>
      </c>
      <c r="AJ160" s="233"/>
    </row>
    <row r="161" spans="3:36">
      <c r="C161" s="161">
        <f t="shared" si="57"/>
        <v>2017</v>
      </c>
      <c r="D161" s="35" t="s">
        <v>262</v>
      </c>
      <c r="E161" s="227">
        <v>42979</v>
      </c>
      <c r="F161" s="156">
        <v>746614.98</v>
      </c>
      <c r="G161" s="131">
        <f t="shared" si="58"/>
        <v>133793.404416</v>
      </c>
      <c r="H161" s="156">
        <v>3547.78</v>
      </c>
      <c r="I161" s="156">
        <v>124209.15</v>
      </c>
      <c r="J161" s="156">
        <v>0</v>
      </c>
      <c r="K161" s="131">
        <f t="shared" si="59"/>
        <v>127756.93</v>
      </c>
      <c r="L161" s="134">
        <v>0.1792</v>
      </c>
      <c r="AJ161" s="233"/>
    </row>
    <row r="162" spans="3:36">
      <c r="C162" s="161">
        <f t="shared" si="57"/>
        <v>2017</v>
      </c>
      <c r="D162" s="35" t="s">
        <v>262</v>
      </c>
      <c r="E162" s="227">
        <v>43009</v>
      </c>
      <c r="F162" s="156">
        <v>707600.28</v>
      </c>
      <c r="G162" s="131">
        <f t="shared" si="58"/>
        <v>126801.970176</v>
      </c>
      <c r="H162" s="156">
        <v>4271.5</v>
      </c>
      <c r="I162" s="156">
        <v>3457.4</v>
      </c>
      <c r="J162" s="156">
        <v>0</v>
      </c>
      <c r="K162" s="131">
        <f t="shared" si="59"/>
        <v>7728.9</v>
      </c>
      <c r="L162" s="134">
        <v>0.1792</v>
      </c>
      <c r="AJ162" s="233"/>
    </row>
    <row r="163" spans="3:36">
      <c r="C163" s="161">
        <f t="shared" si="57"/>
        <v>2017</v>
      </c>
      <c r="D163" s="35" t="s">
        <v>262</v>
      </c>
      <c r="E163" s="227">
        <v>43040</v>
      </c>
      <c r="F163" s="156">
        <v>700260.62</v>
      </c>
      <c r="G163" s="131">
        <f t="shared" si="58"/>
        <v>125486.703104</v>
      </c>
      <c r="H163" s="156">
        <v>3433.27</v>
      </c>
      <c r="I163" s="156">
        <v>3927.81</v>
      </c>
      <c r="J163" s="156">
        <v>138500</v>
      </c>
      <c r="K163" s="131">
        <f t="shared" si="59"/>
        <v>145861.07999999999</v>
      </c>
      <c r="L163" s="134">
        <v>0.1792</v>
      </c>
      <c r="AJ163" s="233"/>
    </row>
    <row r="164" spans="3:36">
      <c r="C164" s="161">
        <f t="shared" si="57"/>
        <v>2017</v>
      </c>
      <c r="D164" s="35" t="s">
        <v>262</v>
      </c>
      <c r="E164" s="227">
        <v>43070</v>
      </c>
      <c r="F164" s="156">
        <v>703790.27</v>
      </c>
      <c r="G164" s="131">
        <f t="shared" si="58"/>
        <v>126119.216384</v>
      </c>
      <c r="H164" s="156">
        <v>2441.87</v>
      </c>
      <c r="I164" s="156">
        <v>8139.98</v>
      </c>
      <c r="J164" s="156">
        <v>16000</v>
      </c>
      <c r="K164" s="131">
        <f t="shared" si="59"/>
        <v>26581.85</v>
      </c>
      <c r="L164" s="134">
        <v>0.1792</v>
      </c>
      <c r="AJ164" s="233"/>
    </row>
    <row r="165" spans="3:36">
      <c r="C165" s="161">
        <f t="shared" si="57"/>
        <v>2018</v>
      </c>
      <c r="D165" s="35" t="s">
        <v>262</v>
      </c>
      <c r="E165" s="227">
        <v>43101</v>
      </c>
      <c r="F165" s="156">
        <v>695198.47</v>
      </c>
      <c r="G165" s="131">
        <f t="shared" si="58"/>
        <v>124579.56582399999</v>
      </c>
      <c r="H165" s="156">
        <v>1871.85</v>
      </c>
      <c r="I165" s="156">
        <v>3062.59</v>
      </c>
      <c r="J165" s="156">
        <v>0</v>
      </c>
      <c r="K165" s="131">
        <f t="shared" si="59"/>
        <v>4934.4400000000005</v>
      </c>
      <c r="L165" s="134">
        <v>0.1792</v>
      </c>
      <c r="AJ165" s="233"/>
    </row>
    <row r="166" spans="3:36">
      <c r="C166" s="161">
        <f t="shared" si="57"/>
        <v>2018</v>
      </c>
      <c r="D166" s="35" t="s">
        <v>262</v>
      </c>
      <c r="E166" s="227">
        <v>43132</v>
      </c>
      <c r="F166" s="156">
        <v>741049.06</v>
      </c>
      <c r="G166" s="131">
        <f t="shared" si="58"/>
        <v>132795.99155200002</v>
      </c>
      <c r="H166" s="156">
        <v>1808.49</v>
      </c>
      <c r="I166" s="156">
        <v>2969.09</v>
      </c>
      <c r="J166" s="156">
        <v>0</v>
      </c>
      <c r="K166" s="131">
        <f t="shared" si="59"/>
        <v>4777.58</v>
      </c>
      <c r="L166" s="134">
        <v>0.1792</v>
      </c>
      <c r="AJ166" s="233"/>
    </row>
    <row r="167" spans="3:36">
      <c r="C167" s="161">
        <f t="shared" si="57"/>
        <v>2018</v>
      </c>
      <c r="D167" s="35" t="s">
        <v>262</v>
      </c>
      <c r="E167" s="227">
        <v>43160</v>
      </c>
      <c r="F167" s="156">
        <v>659751.56999999995</v>
      </c>
      <c r="G167" s="131">
        <f t="shared" si="58"/>
        <v>118227.48134399999</v>
      </c>
      <c r="H167" s="156">
        <v>1174.4000000000001</v>
      </c>
      <c r="I167" s="156">
        <v>5139.41</v>
      </c>
      <c r="J167" s="156">
        <v>0</v>
      </c>
      <c r="K167" s="131">
        <f t="shared" si="59"/>
        <v>6313.8099999999995</v>
      </c>
      <c r="L167" s="134">
        <v>0.1792</v>
      </c>
      <c r="AJ167" s="233"/>
    </row>
    <row r="168" spans="3:36">
      <c r="C168" s="161">
        <f t="shared" si="57"/>
        <v>2018</v>
      </c>
      <c r="D168" s="35" t="s">
        <v>262</v>
      </c>
      <c r="E168" s="227">
        <v>43191</v>
      </c>
      <c r="F168" s="156">
        <v>725489.83</v>
      </c>
      <c r="G168" s="131">
        <f t="shared" si="58"/>
        <v>130007.77753599999</v>
      </c>
      <c r="H168" s="156">
        <v>4395.97</v>
      </c>
      <c r="I168" s="156">
        <v>11968.32</v>
      </c>
      <c r="J168" s="156">
        <v>0</v>
      </c>
      <c r="K168" s="131">
        <f t="shared" si="59"/>
        <v>16364.29</v>
      </c>
      <c r="L168" s="134">
        <v>0.1792</v>
      </c>
      <c r="AJ168" s="233"/>
    </row>
    <row r="169" spans="3:36">
      <c r="C169" s="161">
        <f t="shared" si="57"/>
        <v>2018</v>
      </c>
      <c r="D169" s="35" t="s">
        <v>262</v>
      </c>
      <c r="E169" s="227">
        <v>43221</v>
      </c>
      <c r="F169" s="156">
        <v>711494.98</v>
      </c>
      <c r="G169" s="131">
        <f t="shared" si="58"/>
        <v>127499.90041599999</v>
      </c>
      <c r="H169" s="156">
        <v>1808.02</v>
      </c>
      <c r="I169" s="156">
        <v>7666.64</v>
      </c>
      <c r="J169" s="156">
        <v>765.7</v>
      </c>
      <c r="K169" s="131">
        <f t="shared" si="59"/>
        <v>10240.36</v>
      </c>
      <c r="L169" s="134">
        <v>0.1792</v>
      </c>
      <c r="AJ169" s="233"/>
    </row>
    <row r="170" spans="3:36">
      <c r="C170" s="161">
        <f t="shared" si="57"/>
        <v>2018</v>
      </c>
      <c r="D170" s="35" t="s">
        <v>262</v>
      </c>
      <c r="E170" s="227">
        <v>43252</v>
      </c>
      <c r="F170" s="156">
        <v>675888.71</v>
      </c>
      <c r="G170" s="131">
        <f t="shared" si="58"/>
        <v>121119.256832</v>
      </c>
      <c r="H170" s="156">
        <v>4713.54</v>
      </c>
      <c r="I170" s="156">
        <v>14469.11</v>
      </c>
      <c r="J170" s="156">
        <v>1942.06</v>
      </c>
      <c r="K170" s="131">
        <f t="shared" si="59"/>
        <v>21124.710000000003</v>
      </c>
      <c r="L170" s="134">
        <v>0.1792</v>
      </c>
      <c r="AJ170" s="233"/>
    </row>
    <row r="171" spans="3:36">
      <c r="C171" s="161">
        <f t="shared" si="57"/>
        <v>2018</v>
      </c>
      <c r="D171" s="35" t="s">
        <v>262</v>
      </c>
      <c r="E171" s="227">
        <v>43282</v>
      </c>
      <c r="F171" s="156">
        <v>676563.68</v>
      </c>
      <c r="G171" s="131">
        <f t="shared" si="58"/>
        <v>121240.211456</v>
      </c>
      <c r="H171" s="156">
        <v>5868.58</v>
      </c>
      <c r="I171" s="156">
        <v>13509.47</v>
      </c>
      <c r="J171" s="156">
        <v>2472.3000000000002</v>
      </c>
      <c r="K171" s="131">
        <f t="shared" si="59"/>
        <v>21850.35</v>
      </c>
      <c r="L171" s="134">
        <v>0.1792</v>
      </c>
      <c r="AJ171" s="233"/>
    </row>
    <row r="172" spans="3:36">
      <c r="C172" s="161">
        <f t="shared" si="57"/>
        <v>2018</v>
      </c>
      <c r="D172" s="35" t="s">
        <v>262</v>
      </c>
      <c r="E172" s="227">
        <v>43313</v>
      </c>
      <c r="F172" s="156">
        <v>667357.55000000005</v>
      </c>
      <c r="G172" s="131">
        <f t="shared" si="58"/>
        <v>119590.47296000001</v>
      </c>
      <c r="H172" s="156">
        <v>6409.08</v>
      </c>
      <c r="I172" s="156">
        <v>7626.03</v>
      </c>
      <c r="J172" s="156">
        <v>0</v>
      </c>
      <c r="K172" s="131">
        <f t="shared" si="59"/>
        <v>14035.11</v>
      </c>
      <c r="L172" s="134">
        <v>0.1792</v>
      </c>
      <c r="AJ172" s="233"/>
    </row>
    <row r="173" spans="3:36">
      <c r="C173" s="161">
        <f t="shared" si="57"/>
        <v>2018</v>
      </c>
      <c r="D173" s="35" t="s">
        <v>262</v>
      </c>
      <c r="E173" s="227">
        <v>43344</v>
      </c>
      <c r="F173" s="156">
        <v>690807.16</v>
      </c>
      <c r="G173" s="131">
        <f t="shared" si="58"/>
        <v>123792.64307200001</v>
      </c>
      <c r="H173" s="156">
        <v>2305.75</v>
      </c>
      <c r="I173" s="156">
        <v>7452.44</v>
      </c>
      <c r="J173" s="156">
        <v>0</v>
      </c>
      <c r="K173" s="131">
        <f t="shared" si="59"/>
        <v>9758.1899999999987</v>
      </c>
      <c r="L173" s="134">
        <v>0.1792</v>
      </c>
      <c r="AJ173" s="233"/>
    </row>
    <row r="174" spans="3:36">
      <c r="C174" s="161">
        <f t="shared" si="57"/>
        <v>2018</v>
      </c>
      <c r="D174" s="35" t="s">
        <v>262</v>
      </c>
      <c r="E174" s="227">
        <v>43374</v>
      </c>
      <c r="F174" s="156">
        <v>679107.71</v>
      </c>
      <c r="G174" s="131">
        <f t="shared" si="58"/>
        <v>121696.10163199999</v>
      </c>
      <c r="H174" s="156">
        <v>2515.13</v>
      </c>
      <c r="I174" s="156">
        <v>7423.06</v>
      </c>
      <c r="J174" s="156">
        <v>0</v>
      </c>
      <c r="K174" s="131">
        <f t="shared" si="59"/>
        <v>9938.19</v>
      </c>
      <c r="L174" s="134">
        <v>0.1792</v>
      </c>
      <c r="AJ174" s="233"/>
    </row>
    <row r="175" spans="3:36">
      <c r="C175" s="161">
        <f t="shared" si="57"/>
        <v>2018</v>
      </c>
      <c r="D175" s="35" t="s">
        <v>262</v>
      </c>
      <c r="E175" s="227">
        <v>43405</v>
      </c>
      <c r="F175" s="156">
        <v>748322.06790000002</v>
      </c>
      <c r="G175" s="131">
        <f t="shared" si="58"/>
        <v>134099.31456768</v>
      </c>
      <c r="H175" s="156">
        <v>1064.97</v>
      </c>
      <c r="I175" s="156">
        <v>8970.25</v>
      </c>
      <c r="J175" s="156">
        <v>43222.5</v>
      </c>
      <c r="K175" s="131">
        <f t="shared" si="59"/>
        <v>53257.72</v>
      </c>
      <c r="L175" s="134">
        <v>0.1792</v>
      </c>
      <c r="AJ175" s="233"/>
    </row>
    <row r="176" spans="3:36">
      <c r="C176" s="161">
        <f t="shared" si="57"/>
        <v>2018</v>
      </c>
      <c r="D176" s="35" t="s">
        <v>262</v>
      </c>
      <c r="E176" s="227">
        <v>43435</v>
      </c>
      <c r="F176" s="156">
        <v>790429.67</v>
      </c>
      <c r="G176" s="131">
        <f t="shared" si="58"/>
        <v>141644.99686400002</v>
      </c>
      <c r="H176" s="156">
        <v>4224.68</v>
      </c>
      <c r="I176" s="156">
        <v>6958.51</v>
      </c>
      <c r="J176" s="156">
        <v>0</v>
      </c>
      <c r="K176" s="131">
        <f t="shared" si="59"/>
        <v>11183.19</v>
      </c>
      <c r="L176" s="134">
        <v>0.1792</v>
      </c>
      <c r="AJ176" s="233"/>
    </row>
    <row r="177" spans="3:36">
      <c r="C177" s="161">
        <f t="shared" si="57"/>
        <v>2019</v>
      </c>
      <c r="D177" s="35" t="s">
        <v>262</v>
      </c>
      <c r="E177" s="227">
        <v>43466</v>
      </c>
      <c r="F177" s="156">
        <v>779960.61</v>
      </c>
      <c r="G177" s="131">
        <f t="shared" si="58"/>
        <v>139768.94131200001</v>
      </c>
      <c r="H177" s="156">
        <v>1190.22</v>
      </c>
      <c r="I177" s="156">
        <v>194341.51</v>
      </c>
      <c r="J177" s="156">
        <v>0</v>
      </c>
      <c r="K177" s="131">
        <f t="shared" si="59"/>
        <v>195531.73</v>
      </c>
      <c r="L177" s="134">
        <v>0.1792</v>
      </c>
      <c r="AJ177" s="233"/>
    </row>
    <row r="178" spans="3:36">
      <c r="C178" s="161">
        <f t="shared" si="57"/>
        <v>2019</v>
      </c>
      <c r="D178" s="35" t="s">
        <v>262</v>
      </c>
      <c r="E178" s="227">
        <v>43497</v>
      </c>
      <c r="F178" s="156">
        <v>780904.88</v>
      </c>
      <c r="G178" s="131">
        <f t="shared" si="58"/>
        <v>139938.154496</v>
      </c>
      <c r="H178" s="156">
        <v>1544.55</v>
      </c>
      <c r="I178" s="156">
        <v>306402.96999999997</v>
      </c>
      <c r="J178" s="156">
        <v>0</v>
      </c>
      <c r="K178" s="131">
        <f t="shared" si="59"/>
        <v>307947.51999999996</v>
      </c>
      <c r="L178" s="134">
        <v>0.1792</v>
      </c>
      <c r="AJ178" s="233"/>
    </row>
    <row r="179" spans="3:36">
      <c r="C179" s="161">
        <f t="shared" si="57"/>
        <v>2019</v>
      </c>
      <c r="D179" s="35" t="s">
        <v>262</v>
      </c>
      <c r="E179" s="227">
        <v>43525</v>
      </c>
      <c r="F179" s="156">
        <v>696256.42</v>
      </c>
      <c r="G179" s="131">
        <f t="shared" si="58"/>
        <v>124769.15046400001</v>
      </c>
      <c r="H179" s="156">
        <v>2401.33</v>
      </c>
      <c r="I179" s="156">
        <v>195669.57</v>
      </c>
      <c r="J179" s="156">
        <v>0</v>
      </c>
      <c r="K179" s="131">
        <f t="shared" si="59"/>
        <v>198070.9</v>
      </c>
      <c r="L179" s="134">
        <v>0.1792</v>
      </c>
      <c r="AJ179" s="233"/>
    </row>
    <row r="180" spans="3:36">
      <c r="C180" s="161">
        <f t="shared" si="57"/>
        <v>2019</v>
      </c>
      <c r="D180" s="35" t="s">
        <v>262</v>
      </c>
      <c r="E180" s="227">
        <v>43556</v>
      </c>
      <c r="F180" s="156">
        <v>728925.68</v>
      </c>
      <c r="G180" s="131">
        <f t="shared" si="58"/>
        <v>130623.48185600001</v>
      </c>
      <c r="H180" s="156">
        <v>1862.22</v>
      </c>
      <c r="I180" s="156">
        <v>347765.16</v>
      </c>
      <c r="J180" s="156">
        <v>0</v>
      </c>
      <c r="K180" s="131">
        <f t="shared" si="59"/>
        <v>349627.37999999995</v>
      </c>
      <c r="L180" s="134">
        <v>0.1792</v>
      </c>
      <c r="AJ180" s="233"/>
    </row>
    <row r="181" spans="3:36">
      <c r="C181" s="161">
        <f t="shared" si="57"/>
        <v>2019</v>
      </c>
      <c r="D181" s="35" t="s">
        <v>262</v>
      </c>
      <c r="E181" s="227">
        <v>43586</v>
      </c>
      <c r="F181" s="156">
        <v>717089.97</v>
      </c>
      <c r="G181" s="131">
        <f t="shared" si="58"/>
        <v>128502.52262399999</v>
      </c>
      <c r="H181" s="156">
        <v>4743.59</v>
      </c>
      <c r="I181" s="156">
        <v>211279.09</v>
      </c>
      <c r="J181" s="156">
        <v>0</v>
      </c>
      <c r="K181" s="131">
        <f t="shared" si="59"/>
        <v>216022.68</v>
      </c>
      <c r="L181" s="134">
        <v>0.1792</v>
      </c>
      <c r="AJ181" s="233"/>
    </row>
    <row r="182" spans="3:36">
      <c r="C182" s="161">
        <f t="shared" si="57"/>
        <v>2019</v>
      </c>
      <c r="D182" s="35" t="s">
        <v>262</v>
      </c>
      <c r="E182" s="227">
        <v>43617</v>
      </c>
      <c r="F182" s="156">
        <v>696298.4</v>
      </c>
      <c r="G182" s="131">
        <f t="shared" si="58"/>
        <v>124776.67328</v>
      </c>
      <c r="H182" s="156">
        <v>12374.45</v>
      </c>
      <c r="I182" s="156">
        <v>360725.67</v>
      </c>
      <c r="J182" s="156">
        <v>0</v>
      </c>
      <c r="K182" s="131">
        <f t="shared" si="59"/>
        <v>373100.12</v>
      </c>
      <c r="L182" s="134">
        <v>0.1792</v>
      </c>
      <c r="AJ182" s="233"/>
    </row>
    <row r="183" spans="3:36">
      <c r="C183" s="161">
        <f t="shared" si="57"/>
        <v>2019</v>
      </c>
      <c r="D183" s="35" t="s">
        <v>262</v>
      </c>
      <c r="E183" s="227">
        <v>43647</v>
      </c>
      <c r="F183" s="156">
        <v>720944.4</v>
      </c>
      <c r="G183" s="131">
        <f t="shared" si="58"/>
        <v>129193.23648000001</v>
      </c>
      <c r="H183" s="156">
        <v>12997.03</v>
      </c>
      <c r="I183" s="156">
        <v>297902.43</v>
      </c>
      <c r="J183" s="156">
        <v>0</v>
      </c>
      <c r="K183" s="131">
        <f t="shared" si="59"/>
        <v>310899.46000000002</v>
      </c>
      <c r="L183" s="134">
        <v>0.1792</v>
      </c>
      <c r="AJ183" s="233"/>
    </row>
    <row r="184" spans="3:36">
      <c r="C184" s="161">
        <f t="shared" si="57"/>
        <v>2019</v>
      </c>
      <c r="D184" s="35" t="s">
        <v>262</v>
      </c>
      <c r="E184" s="227">
        <v>43678</v>
      </c>
      <c r="F184" s="156">
        <v>794941.3</v>
      </c>
      <c r="G184" s="131">
        <f t="shared" si="58"/>
        <v>142453.48096000002</v>
      </c>
      <c r="H184" s="156">
        <v>11145.81</v>
      </c>
      <c r="I184" s="156">
        <v>189757.82</v>
      </c>
      <c r="J184" s="156">
        <v>0</v>
      </c>
      <c r="K184" s="131">
        <f t="shared" si="59"/>
        <v>200903.63</v>
      </c>
      <c r="L184" s="134">
        <v>0.1792</v>
      </c>
      <c r="AJ184" s="233"/>
    </row>
    <row r="185" spans="3:36">
      <c r="C185" s="161">
        <f t="shared" si="57"/>
        <v>2019</v>
      </c>
      <c r="D185" s="35" t="s">
        <v>262</v>
      </c>
      <c r="E185" s="227">
        <v>43709</v>
      </c>
      <c r="F185" s="156">
        <v>870287.85</v>
      </c>
      <c r="G185" s="131">
        <f t="shared" si="58"/>
        <v>155955.58272000001</v>
      </c>
      <c r="H185" s="156">
        <v>8583.75</v>
      </c>
      <c r="I185" s="156">
        <v>24073.119999999999</v>
      </c>
      <c r="J185" s="156">
        <v>7528.26</v>
      </c>
      <c r="K185" s="131">
        <f t="shared" si="59"/>
        <v>40185.129999999997</v>
      </c>
      <c r="L185" s="134">
        <v>0.1792</v>
      </c>
      <c r="AJ185" s="233"/>
    </row>
    <row r="186" spans="3:36">
      <c r="C186" s="161">
        <f t="shared" si="57"/>
        <v>2019</v>
      </c>
      <c r="D186" s="35" t="s">
        <v>262</v>
      </c>
      <c r="E186" s="227">
        <v>43739</v>
      </c>
      <c r="F186" s="156">
        <v>808347.84</v>
      </c>
      <c r="G186" s="131">
        <f t="shared" si="58"/>
        <v>144855.93292799999</v>
      </c>
      <c r="H186" s="156">
        <v>3666.69</v>
      </c>
      <c r="I186" s="156">
        <v>15442.43</v>
      </c>
      <c r="J186" s="156">
        <v>0</v>
      </c>
      <c r="K186" s="131">
        <f t="shared" si="59"/>
        <v>19109.12</v>
      </c>
      <c r="L186" s="134">
        <v>0.1792</v>
      </c>
      <c r="AJ186" s="233"/>
    </row>
    <row r="187" spans="3:36">
      <c r="C187" s="161">
        <f t="shared" si="57"/>
        <v>2019</v>
      </c>
      <c r="D187" s="35" t="s">
        <v>262</v>
      </c>
      <c r="E187" s="227">
        <v>43770</v>
      </c>
      <c r="F187" s="156">
        <v>911037.48</v>
      </c>
      <c r="G187" s="131">
        <f t="shared" si="58"/>
        <v>163257.91641599999</v>
      </c>
      <c r="H187" s="156">
        <v>3645.47</v>
      </c>
      <c r="I187" s="156">
        <v>29372.91</v>
      </c>
      <c r="J187" s="156">
        <v>0</v>
      </c>
      <c r="K187" s="131">
        <f t="shared" si="59"/>
        <v>33018.379999999997</v>
      </c>
      <c r="L187" s="134">
        <v>0.1792</v>
      </c>
      <c r="AJ187" s="233"/>
    </row>
    <row r="188" spans="3:36">
      <c r="C188" s="161">
        <f t="shared" si="57"/>
        <v>2019</v>
      </c>
      <c r="D188" s="35" t="s">
        <v>262</v>
      </c>
      <c r="E188" s="227">
        <v>43800</v>
      </c>
      <c r="F188" s="156">
        <v>804410.6</v>
      </c>
      <c r="G188" s="131">
        <f t="shared" si="58"/>
        <v>144150.37951999999</v>
      </c>
      <c r="H188" s="156">
        <v>4068.65</v>
      </c>
      <c r="I188" s="156">
        <v>26510</v>
      </c>
      <c r="J188" s="156">
        <v>0</v>
      </c>
      <c r="K188" s="131">
        <f t="shared" si="59"/>
        <v>30578.65</v>
      </c>
      <c r="L188" s="134">
        <v>0.1792</v>
      </c>
      <c r="AJ188" s="233"/>
    </row>
    <row r="189" spans="3:36">
      <c r="C189" s="161">
        <f t="shared" si="57"/>
        <v>2020</v>
      </c>
      <c r="D189" s="35" t="s">
        <v>262</v>
      </c>
      <c r="E189" s="227">
        <v>43831</v>
      </c>
      <c r="F189" s="156">
        <v>816975.6</v>
      </c>
      <c r="G189" s="131">
        <f t="shared" si="58"/>
        <v>146402.02752</v>
      </c>
      <c r="H189" s="156">
        <v>1935.49</v>
      </c>
      <c r="I189" s="156">
        <v>22649.29</v>
      </c>
      <c r="J189" s="156">
        <v>0</v>
      </c>
      <c r="K189" s="131">
        <f t="shared" si="59"/>
        <v>24584.780000000002</v>
      </c>
      <c r="L189" s="134">
        <v>0.1792</v>
      </c>
      <c r="AJ189" s="233"/>
    </row>
    <row r="190" spans="3:36">
      <c r="C190" s="161">
        <f t="shared" si="57"/>
        <v>2020</v>
      </c>
      <c r="D190" s="35" t="s">
        <v>262</v>
      </c>
      <c r="E190" s="227">
        <v>43862</v>
      </c>
      <c r="F190" s="156">
        <v>810848.55</v>
      </c>
      <c r="G190" s="131">
        <f t="shared" si="58"/>
        <v>145304.06015999999</v>
      </c>
      <c r="H190" s="156">
        <v>150934.72</v>
      </c>
      <c r="I190" s="156">
        <v>452969.17</v>
      </c>
      <c r="J190" s="156">
        <v>0</v>
      </c>
      <c r="K190" s="131">
        <f t="shared" si="59"/>
        <v>603903.89</v>
      </c>
      <c r="L190" s="134">
        <v>0.1792</v>
      </c>
      <c r="AJ190" s="233"/>
    </row>
    <row r="191" spans="3:36">
      <c r="C191" s="161">
        <f t="shared" si="57"/>
        <v>2020</v>
      </c>
      <c r="D191" s="35" t="s">
        <v>262</v>
      </c>
      <c r="E191" s="227">
        <v>43891</v>
      </c>
      <c r="F191" s="156">
        <v>814800.69907500001</v>
      </c>
      <c r="G191" s="131">
        <f t="shared" si="58"/>
        <v>146012.28527424001</v>
      </c>
      <c r="H191" s="156">
        <v>4187.3999999999996</v>
      </c>
      <c r="I191" s="156">
        <v>18905.07</v>
      </c>
      <c r="J191" s="156">
        <v>0</v>
      </c>
      <c r="K191" s="131">
        <f t="shared" si="59"/>
        <v>23092.47</v>
      </c>
      <c r="L191" s="134">
        <v>0.1792</v>
      </c>
      <c r="AJ191" s="233"/>
    </row>
    <row r="192" spans="3:36">
      <c r="C192" s="161">
        <f t="shared" si="57"/>
        <v>2020</v>
      </c>
      <c r="D192" s="35" t="s">
        <v>262</v>
      </c>
      <c r="E192" s="227">
        <v>43922</v>
      </c>
      <c r="F192" s="156">
        <v>814614.53452500002</v>
      </c>
      <c r="G192" s="131">
        <f t="shared" si="58"/>
        <v>145978.92458687999</v>
      </c>
      <c r="H192" s="156">
        <v>4374.6099999999997</v>
      </c>
      <c r="I192" s="156">
        <v>23651.200000000001</v>
      </c>
      <c r="J192" s="156">
        <v>0</v>
      </c>
      <c r="K192" s="131">
        <f t="shared" si="59"/>
        <v>28025.81</v>
      </c>
      <c r="L192" s="134">
        <v>0.1792</v>
      </c>
      <c r="AJ192" s="233"/>
    </row>
    <row r="193" spans="3:36">
      <c r="C193" s="161">
        <f t="shared" si="57"/>
        <v>2020</v>
      </c>
      <c r="D193" s="35" t="s">
        <v>262</v>
      </c>
      <c r="E193" s="227">
        <v>43952</v>
      </c>
      <c r="F193" s="156">
        <v>750222.77</v>
      </c>
      <c r="G193" s="131">
        <f t="shared" si="58"/>
        <v>134439.920384</v>
      </c>
      <c r="H193" s="156">
        <v>6036.61</v>
      </c>
      <c r="I193" s="156">
        <v>23513.64</v>
      </c>
      <c r="J193" s="156">
        <v>0</v>
      </c>
      <c r="K193" s="131">
        <f t="shared" si="59"/>
        <v>29550.25</v>
      </c>
      <c r="L193" s="134">
        <v>0.1792</v>
      </c>
      <c r="AJ193" s="233"/>
    </row>
    <row r="194" spans="3:36">
      <c r="C194" s="161">
        <f t="shared" si="57"/>
        <v>2020</v>
      </c>
      <c r="D194" s="35" t="s">
        <v>262</v>
      </c>
      <c r="E194" s="227">
        <v>43983</v>
      </c>
      <c r="F194" s="156">
        <v>782570.09</v>
      </c>
      <c r="G194" s="131">
        <f t="shared" si="58"/>
        <v>140236.56012799998</v>
      </c>
      <c r="H194" s="156">
        <v>4227.6499999999996</v>
      </c>
      <c r="I194" s="156">
        <v>21368.57</v>
      </c>
      <c r="J194" s="156">
        <v>0</v>
      </c>
      <c r="K194" s="131">
        <f t="shared" si="59"/>
        <v>25596.22</v>
      </c>
      <c r="L194" s="134">
        <v>0.1792</v>
      </c>
      <c r="AJ194" s="233"/>
    </row>
    <row r="195" spans="3:36">
      <c r="C195" s="161">
        <f t="shared" si="57"/>
        <v>2020</v>
      </c>
      <c r="D195" s="35" t="s">
        <v>262</v>
      </c>
      <c r="E195" s="227">
        <v>44013</v>
      </c>
      <c r="F195" s="156">
        <v>725956.4</v>
      </c>
      <c r="G195" s="131">
        <f t="shared" si="58"/>
        <v>130091.38688000001</v>
      </c>
      <c r="H195" s="156">
        <v>4558.78</v>
      </c>
      <c r="I195" s="156">
        <v>20912.43</v>
      </c>
      <c r="J195" s="156">
        <v>0</v>
      </c>
      <c r="K195" s="131">
        <f t="shared" si="59"/>
        <v>25471.21</v>
      </c>
      <c r="L195" s="134">
        <v>0.1792</v>
      </c>
      <c r="AJ195" s="233"/>
    </row>
    <row r="196" spans="3:36">
      <c r="C196" s="161">
        <f t="shared" ref="C196:C259" si="60">YEAR(E196)</f>
        <v>2020</v>
      </c>
      <c r="D196" s="35" t="s">
        <v>262</v>
      </c>
      <c r="E196" s="227">
        <v>44044</v>
      </c>
      <c r="F196" s="156">
        <v>792792.47</v>
      </c>
      <c r="G196" s="131">
        <f t="shared" ref="G196:G259" si="61">F196*L196</f>
        <v>142068.41062399998</v>
      </c>
      <c r="H196" s="156">
        <v>22073.24</v>
      </c>
      <c r="I196" s="156">
        <v>394528.78</v>
      </c>
      <c r="J196" s="156">
        <v>0</v>
      </c>
      <c r="K196" s="131">
        <f t="shared" ref="K196:K259" si="62">SUM(H196:J196)</f>
        <v>416602.02</v>
      </c>
      <c r="L196" s="134">
        <v>0.1792</v>
      </c>
      <c r="AJ196" s="233"/>
    </row>
    <row r="197" spans="3:36">
      <c r="C197" s="161">
        <f t="shared" si="60"/>
        <v>2020</v>
      </c>
      <c r="D197" s="35" t="s">
        <v>262</v>
      </c>
      <c r="E197" s="227">
        <v>44075</v>
      </c>
      <c r="F197" s="156">
        <v>863991.16</v>
      </c>
      <c r="G197" s="131">
        <f t="shared" si="61"/>
        <v>154827.215872</v>
      </c>
      <c r="H197" s="156">
        <v>2401.52</v>
      </c>
      <c r="I197" s="156">
        <v>463642.04</v>
      </c>
      <c r="J197" s="156">
        <v>0</v>
      </c>
      <c r="K197" s="131">
        <f t="shared" si="62"/>
        <v>466043.56</v>
      </c>
      <c r="L197" s="134">
        <v>0.1792</v>
      </c>
      <c r="AJ197" s="233"/>
    </row>
    <row r="198" spans="3:36">
      <c r="C198" s="161">
        <f t="shared" si="60"/>
        <v>2020</v>
      </c>
      <c r="D198" s="35" t="s">
        <v>262</v>
      </c>
      <c r="E198" s="227">
        <v>44105</v>
      </c>
      <c r="F198" s="156">
        <v>909381.92</v>
      </c>
      <c r="G198" s="131">
        <f t="shared" si="61"/>
        <v>162961.24006400001</v>
      </c>
      <c r="H198" s="156">
        <v>3222.72</v>
      </c>
      <c r="I198" s="156">
        <v>464088.54</v>
      </c>
      <c r="J198" s="156">
        <v>0</v>
      </c>
      <c r="K198" s="131">
        <f t="shared" si="62"/>
        <v>467311.25999999995</v>
      </c>
      <c r="L198" s="134">
        <v>0.1792</v>
      </c>
      <c r="AJ198" s="233"/>
    </row>
    <row r="199" spans="3:36">
      <c r="C199" s="161">
        <f t="shared" si="60"/>
        <v>2020</v>
      </c>
      <c r="D199" s="35" t="s">
        <v>262</v>
      </c>
      <c r="E199" s="227">
        <v>44136</v>
      </c>
      <c r="F199" s="156">
        <v>846112.92</v>
      </c>
      <c r="G199" s="131">
        <f t="shared" si="61"/>
        <v>151623.435264</v>
      </c>
      <c r="H199" s="156">
        <v>893.35</v>
      </c>
      <c r="I199" s="156">
        <v>261712.59</v>
      </c>
      <c r="J199" s="156">
        <v>0</v>
      </c>
      <c r="K199" s="131">
        <f t="shared" si="62"/>
        <v>262605.94</v>
      </c>
      <c r="L199" s="134">
        <v>0.1792</v>
      </c>
      <c r="AJ199" s="233"/>
    </row>
    <row r="200" spans="3:36">
      <c r="C200" s="161">
        <f t="shared" si="60"/>
        <v>2020</v>
      </c>
      <c r="D200" s="35" t="s">
        <v>262</v>
      </c>
      <c r="E200" s="227">
        <v>44166</v>
      </c>
      <c r="F200" s="156">
        <v>893035.6</v>
      </c>
      <c r="G200" s="131">
        <f t="shared" si="61"/>
        <v>160031.97951999999</v>
      </c>
      <c r="H200" s="156">
        <v>3907.06</v>
      </c>
      <c r="I200" s="156">
        <v>238657.74</v>
      </c>
      <c r="J200" s="156">
        <v>0</v>
      </c>
      <c r="K200" s="131">
        <f t="shared" si="62"/>
        <v>242564.8</v>
      </c>
      <c r="L200" s="134">
        <v>0.1792</v>
      </c>
      <c r="AJ200" s="233"/>
    </row>
    <row r="201" spans="3:36">
      <c r="C201" s="161">
        <f t="shared" si="60"/>
        <v>2021</v>
      </c>
      <c r="D201" s="35" t="s">
        <v>262</v>
      </c>
      <c r="E201" s="227">
        <v>44197</v>
      </c>
      <c r="F201" s="156">
        <v>856983.06</v>
      </c>
      <c r="G201" s="131">
        <f t="shared" si="61"/>
        <v>153571.364352</v>
      </c>
      <c r="H201" s="156">
        <v>5037.8900000000003</v>
      </c>
      <c r="I201" s="156">
        <v>62363.88</v>
      </c>
      <c r="J201" s="156">
        <v>0</v>
      </c>
      <c r="K201" s="131">
        <f t="shared" si="62"/>
        <v>67401.77</v>
      </c>
      <c r="L201" s="134">
        <v>0.1792</v>
      </c>
    </row>
    <row r="202" spans="3:36">
      <c r="C202" s="161">
        <f t="shared" si="60"/>
        <v>2021</v>
      </c>
      <c r="D202" s="35" t="s">
        <v>262</v>
      </c>
      <c r="E202" s="227">
        <v>44229</v>
      </c>
      <c r="F202" s="156">
        <v>836479.67</v>
      </c>
      <c r="G202" s="131">
        <f t="shared" si="61"/>
        <v>149897.15686400002</v>
      </c>
      <c r="H202" s="156">
        <v>3526.69</v>
      </c>
      <c r="I202" s="156">
        <v>42159.199999999997</v>
      </c>
      <c r="J202" s="156">
        <v>0</v>
      </c>
      <c r="K202" s="131">
        <f t="shared" si="62"/>
        <v>45685.89</v>
      </c>
      <c r="L202" s="134">
        <v>0.1792</v>
      </c>
    </row>
    <row r="203" spans="3:36">
      <c r="C203" s="161">
        <f t="shared" si="60"/>
        <v>2021</v>
      </c>
      <c r="D203" s="35" t="s">
        <v>262</v>
      </c>
      <c r="E203" s="227">
        <v>44258</v>
      </c>
      <c r="F203" s="156">
        <v>807952.1</v>
      </c>
      <c r="G203" s="131">
        <f t="shared" si="61"/>
        <v>144785.01632</v>
      </c>
      <c r="H203" s="156">
        <v>3368.56</v>
      </c>
      <c r="I203" s="156">
        <v>50661.62</v>
      </c>
      <c r="J203" s="156">
        <v>0</v>
      </c>
      <c r="K203" s="131">
        <f t="shared" si="62"/>
        <v>54030.18</v>
      </c>
      <c r="L203" s="134">
        <v>0.1792</v>
      </c>
    </row>
    <row r="204" spans="3:36">
      <c r="C204" s="161">
        <f t="shared" si="60"/>
        <v>2021</v>
      </c>
      <c r="D204" s="35" t="s">
        <v>262</v>
      </c>
      <c r="E204" s="227">
        <v>44290</v>
      </c>
      <c r="F204" s="156">
        <v>882153.28</v>
      </c>
      <c r="G204" s="131">
        <f t="shared" si="61"/>
        <v>158081.867776</v>
      </c>
      <c r="H204" s="156">
        <v>12104.99</v>
      </c>
      <c r="I204" s="156">
        <v>33097.15</v>
      </c>
      <c r="J204" s="156">
        <v>0</v>
      </c>
      <c r="K204" s="131">
        <f t="shared" si="62"/>
        <v>45202.14</v>
      </c>
      <c r="L204" s="134">
        <v>0.1792</v>
      </c>
    </row>
    <row r="205" spans="3:36">
      <c r="C205" s="161">
        <f t="shared" si="60"/>
        <v>2021</v>
      </c>
      <c r="D205" s="35" t="s">
        <v>262</v>
      </c>
      <c r="E205" s="227">
        <v>44321</v>
      </c>
      <c r="F205" s="156">
        <v>852169.92</v>
      </c>
      <c r="G205" s="131">
        <f t="shared" si="61"/>
        <v>152708.84966400001</v>
      </c>
      <c r="H205" s="156">
        <v>7633.72</v>
      </c>
      <c r="I205" s="156">
        <v>25224.85</v>
      </c>
      <c r="J205" s="156">
        <v>0</v>
      </c>
      <c r="K205" s="131">
        <f t="shared" si="62"/>
        <v>32858.57</v>
      </c>
      <c r="L205" s="134">
        <v>0.1792</v>
      </c>
    </row>
    <row r="206" spans="3:36">
      <c r="C206" s="161">
        <f t="shared" si="60"/>
        <v>2021</v>
      </c>
      <c r="D206" s="35" t="s">
        <v>262</v>
      </c>
      <c r="E206" s="227">
        <v>44353</v>
      </c>
      <c r="F206" s="156">
        <v>860572.74</v>
      </c>
      <c r="G206" s="131">
        <f t="shared" si="61"/>
        <v>154214.63500799998</v>
      </c>
      <c r="H206" s="156">
        <v>4369.79</v>
      </c>
      <c r="I206" s="156">
        <v>23930.47</v>
      </c>
      <c r="J206" s="156">
        <v>0</v>
      </c>
      <c r="K206" s="131">
        <f t="shared" si="62"/>
        <v>28300.260000000002</v>
      </c>
      <c r="L206" s="134">
        <v>0.1792</v>
      </c>
    </row>
    <row r="207" spans="3:36">
      <c r="C207" s="161">
        <f t="shared" si="60"/>
        <v>2015</v>
      </c>
      <c r="D207" s="35" t="s">
        <v>263</v>
      </c>
      <c r="E207" s="227">
        <v>42309</v>
      </c>
      <c r="F207" s="156">
        <v>571999.53</v>
      </c>
      <c r="G207" s="131">
        <f t="shared" si="61"/>
        <v>102502.315776</v>
      </c>
      <c r="H207" s="156">
        <v>238400.54</v>
      </c>
      <c r="I207" s="156">
        <v>3520.15</v>
      </c>
      <c r="J207" s="156">
        <v>0</v>
      </c>
      <c r="K207" s="131">
        <f t="shared" si="62"/>
        <v>241920.69</v>
      </c>
      <c r="L207" s="134">
        <v>0.1792</v>
      </c>
    </row>
    <row r="208" spans="3:36">
      <c r="C208" s="161">
        <f t="shared" si="60"/>
        <v>2015</v>
      </c>
      <c r="D208" s="35" t="s">
        <v>263</v>
      </c>
      <c r="E208" s="227">
        <v>42339</v>
      </c>
      <c r="F208" s="156">
        <v>439541.93</v>
      </c>
      <c r="G208" s="131">
        <f t="shared" si="61"/>
        <v>78765.913855999999</v>
      </c>
      <c r="H208" s="156">
        <v>4223.34</v>
      </c>
      <c r="I208" s="156">
        <v>2533.67</v>
      </c>
      <c r="J208" s="156">
        <v>0</v>
      </c>
      <c r="K208" s="131">
        <f t="shared" si="62"/>
        <v>6757.01</v>
      </c>
      <c r="L208" s="134">
        <v>0.1792</v>
      </c>
    </row>
    <row r="209" spans="3:12">
      <c r="C209" s="161">
        <f t="shared" si="60"/>
        <v>2016</v>
      </c>
      <c r="D209" s="35" t="s">
        <v>263</v>
      </c>
      <c r="E209" s="227">
        <v>42370</v>
      </c>
      <c r="F209" s="156">
        <v>433828.34</v>
      </c>
      <c r="G209" s="131">
        <f t="shared" si="61"/>
        <v>77742.038528000005</v>
      </c>
      <c r="H209" s="156">
        <v>25244.32</v>
      </c>
      <c r="I209" s="156">
        <v>12349.98</v>
      </c>
      <c r="J209" s="156">
        <v>0</v>
      </c>
      <c r="K209" s="131">
        <f t="shared" si="62"/>
        <v>37594.300000000003</v>
      </c>
      <c r="L209" s="134">
        <v>0.1792</v>
      </c>
    </row>
    <row r="210" spans="3:12">
      <c r="C210" s="161">
        <f t="shared" si="60"/>
        <v>2016</v>
      </c>
      <c r="D210" s="35" t="s">
        <v>263</v>
      </c>
      <c r="E210" s="227">
        <v>42401</v>
      </c>
      <c r="F210" s="156">
        <v>429833.76</v>
      </c>
      <c r="G210" s="131">
        <f t="shared" si="61"/>
        <v>77026.209791999994</v>
      </c>
      <c r="H210" s="156">
        <v>163898.73000000001</v>
      </c>
      <c r="I210" s="156">
        <v>0</v>
      </c>
      <c r="J210" s="156">
        <v>0</v>
      </c>
      <c r="K210" s="131">
        <f t="shared" si="62"/>
        <v>163898.73000000001</v>
      </c>
      <c r="L210" s="134">
        <v>0.1792</v>
      </c>
    </row>
    <row r="211" spans="3:12">
      <c r="C211" s="161">
        <f t="shared" si="60"/>
        <v>2016</v>
      </c>
      <c r="D211" s="35" t="s">
        <v>263</v>
      </c>
      <c r="E211" s="227">
        <v>42430</v>
      </c>
      <c r="F211" s="156">
        <v>402931.85</v>
      </c>
      <c r="G211" s="131">
        <f t="shared" si="61"/>
        <v>72205.387519999989</v>
      </c>
      <c r="H211" s="156">
        <v>67995.100000000006</v>
      </c>
      <c r="I211" s="156">
        <v>5615.67</v>
      </c>
      <c r="J211" s="156">
        <v>0</v>
      </c>
      <c r="K211" s="131">
        <f t="shared" si="62"/>
        <v>73610.77</v>
      </c>
      <c r="L211" s="134">
        <v>0.1792</v>
      </c>
    </row>
    <row r="212" spans="3:12">
      <c r="C212" s="161">
        <f t="shared" si="60"/>
        <v>2016</v>
      </c>
      <c r="D212" s="35" t="s">
        <v>263</v>
      </c>
      <c r="E212" s="227">
        <v>42461</v>
      </c>
      <c r="F212" s="156">
        <v>432241.51</v>
      </c>
      <c r="G212" s="131">
        <f t="shared" si="61"/>
        <v>77457.678591999997</v>
      </c>
      <c r="H212" s="156">
        <v>2324.48</v>
      </c>
      <c r="I212" s="156">
        <v>4106.4399999999996</v>
      </c>
      <c r="J212" s="156">
        <v>0</v>
      </c>
      <c r="K212" s="131">
        <f t="shared" si="62"/>
        <v>6430.92</v>
      </c>
      <c r="L212" s="134">
        <v>0.1792</v>
      </c>
    </row>
    <row r="213" spans="3:12">
      <c r="C213" s="161">
        <f t="shared" si="60"/>
        <v>2016</v>
      </c>
      <c r="D213" s="35" t="s">
        <v>263</v>
      </c>
      <c r="E213" s="227">
        <v>42491</v>
      </c>
      <c r="F213" s="156">
        <v>408238.89</v>
      </c>
      <c r="G213" s="131">
        <f t="shared" si="61"/>
        <v>73156.409088</v>
      </c>
      <c r="H213" s="156">
        <v>-11046.83</v>
      </c>
      <c r="I213" s="156">
        <v>0</v>
      </c>
      <c r="J213" s="156">
        <v>0</v>
      </c>
      <c r="K213" s="131">
        <f t="shared" si="62"/>
        <v>-11046.83</v>
      </c>
      <c r="L213" s="134">
        <v>0.1792</v>
      </c>
    </row>
    <row r="214" spans="3:12">
      <c r="C214" s="161">
        <f t="shared" si="60"/>
        <v>2016</v>
      </c>
      <c r="D214" s="35" t="s">
        <v>263</v>
      </c>
      <c r="E214" s="227">
        <v>42522</v>
      </c>
      <c r="F214" s="156">
        <v>379987.93</v>
      </c>
      <c r="G214" s="131">
        <f t="shared" si="61"/>
        <v>68093.837056000004</v>
      </c>
      <c r="H214" s="156">
        <v>3222.44</v>
      </c>
      <c r="I214" s="156">
        <v>4723.45</v>
      </c>
      <c r="J214" s="156">
        <v>4295.3500000000004</v>
      </c>
      <c r="K214" s="131">
        <f t="shared" si="62"/>
        <v>12241.24</v>
      </c>
      <c r="L214" s="134">
        <v>0.1792</v>
      </c>
    </row>
    <row r="215" spans="3:12">
      <c r="C215" s="161">
        <f t="shared" si="60"/>
        <v>2016</v>
      </c>
      <c r="D215" s="35" t="s">
        <v>263</v>
      </c>
      <c r="E215" s="227">
        <v>42552</v>
      </c>
      <c r="F215" s="156">
        <v>443210.35</v>
      </c>
      <c r="G215" s="131">
        <f t="shared" si="61"/>
        <v>79423.294719999991</v>
      </c>
      <c r="H215" s="156">
        <v>15125.02</v>
      </c>
      <c r="I215" s="156">
        <v>529325.18999999994</v>
      </c>
      <c r="J215" s="156">
        <v>0</v>
      </c>
      <c r="K215" s="131">
        <f t="shared" si="62"/>
        <v>544450.21</v>
      </c>
      <c r="L215" s="134">
        <v>0.1792</v>
      </c>
    </row>
    <row r="216" spans="3:12">
      <c r="C216" s="161">
        <f t="shared" si="60"/>
        <v>2016</v>
      </c>
      <c r="D216" s="35" t="s">
        <v>263</v>
      </c>
      <c r="E216" s="227">
        <v>42583</v>
      </c>
      <c r="F216" s="156">
        <v>430364.53</v>
      </c>
      <c r="G216" s="131">
        <f t="shared" si="61"/>
        <v>77121.323776000005</v>
      </c>
      <c r="H216" s="156">
        <v>8086.46</v>
      </c>
      <c r="I216" s="156">
        <v>0</v>
      </c>
      <c r="J216" s="156">
        <v>0</v>
      </c>
      <c r="K216" s="131">
        <f t="shared" si="62"/>
        <v>8086.46</v>
      </c>
      <c r="L216" s="134">
        <v>0.1792</v>
      </c>
    </row>
    <row r="217" spans="3:12">
      <c r="C217" s="161">
        <f t="shared" si="60"/>
        <v>2016</v>
      </c>
      <c r="D217" s="35" t="s">
        <v>263</v>
      </c>
      <c r="E217" s="227">
        <v>42614</v>
      </c>
      <c r="F217" s="156">
        <v>430845.29</v>
      </c>
      <c r="G217" s="131">
        <f t="shared" si="61"/>
        <v>77207.475967999999</v>
      </c>
      <c r="H217" s="156">
        <v>6019.39</v>
      </c>
      <c r="I217" s="156">
        <v>4477.22</v>
      </c>
      <c r="J217" s="156">
        <v>0</v>
      </c>
      <c r="K217" s="131">
        <f t="shared" si="62"/>
        <v>10496.61</v>
      </c>
      <c r="L217" s="134">
        <v>0.1792</v>
      </c>
    </row>
    <row r="218" spans="3:12">
      <c r="C218" s="161">
        <f t="shared" si="60"/>
        <v>2016</v>
      </c>
      <c r="D218" s="35" t="s">
        <v>263</v>
      </c>
      <c r="E218" s="227">
        <v>42644</v>
      </c>
      <c r="F218" s="156">
        <v>490565.93</v>
      </c>
      <c r="G218" s="131">
        <f t="shared" si="61"/>
        <v>87909.414655999994</v>
      </c>
      <c r="H218" s="156">
        <v>32607.411</v>
      </c>
      <c r="I218" s="156">
        <v>0</v>
      </c>
      <c r="J218" s="156">
        <v>0</v>
      </c>
      <c r="K218" s="131">
        <f t="shared" si="62"/>
        <v>32607.411</v>
      </c>
      <c r="L218" s="134">
        <v>0.1792</v>
      </c>
    </row>
    <row r="219" spans="3:12">
      <c r="C219" s="161">
        <f t="shared" si="60"/>
        <v>2016</v>
      </c>
      <c r="D219" s="35" t="s">
        <v>263</v>
      </c>
      <c r="E219" s="227">
        <v>42675</v>
      </c>
      <c r="F219" s="156">
        <v>488970.84</v>
      </c>
      <c r="G219" s="131">
        <f t="shared" si="61"/>
        <v>87623.574527999997</v>
      </c>
      <c r="H219" s="156">
        <v>3507.11</v>
      </c>
      <c r="I219" s="156">
        <v>0</v>
      </c>
      <c r="J219" s="156">
        <v>0</v>
      </c>
      <c r="K219" s="131">
        <f t="shared" si="62"/>
        <v>3507.11</v>
      </c>
      <c r="L219" s="134">
        <v>0.1792</v>
      </c>
    </row>
    <row r="220" spans="3:12">
      <c r="C220" s="161">
        <f t="shared" si="60"/>
        <v>2016</v>
      </c>
      <c r="D220" s="35" t="s">
        <v>263</v>
      </c>
      <c r="E220" s="227">
        <v>42705</v>
      </c>
      <c r="F220" s="156">
        <v>473214.4</v>
      </c>
      <c r="G220" s="131">
        <f t="shared" si="61"/>
        <v>84800.020480000007</v>
      </c>
      <c r="H220" s="156">
        <v>1021.7</v>
      </c>
      <c r="I220" s="156">
        <v>1471.43</v>
      </c>
      <c r="J220" s="156">
        <v>0</v>
      </c>
      <c r="K220" s="131">
        <f t="shared" si="62"/>
        <v>2493.13</v>
      </c>
      <c r="L220" s="134">
        <v>0.1792</v>
      </c>
    </row>
    <row r="221" spans="3:12">
      <c r="C221" s="161">
        <f t="shared" si="60"/>
        <v>2017</v>
      </c>
      <c r="D221" s="35" t="s">
        <v>263</v>
      </c>
      <c r="E221" s="227">
        <v>42736</v>
      </c>
      <c r="F221" s="156">
        <v>509291.28</v>
      </c>
      <c r="G221" s="131">
        <f t="shared" si="61"/>
        <v>91264.997375999999</v>
      </c>
      <c r="H221" s="156">
        <v>3139.77</v>
      </c>
      <c r="I221" s="156">
        <v>2639.31</v>
      </c>
      <c r="J221" s="156">
        <v>0</v>
      </c>
      <c r="K221" s="131">
        <f t="shared" si="62"/>
        <v>5779.08</v>
      </c>
      <c r="L221" s="134">
        <v>0.1792</v>
      </c>
    </row>
    <row r="222" spans="3:12">
      <c r="C222" s="161">
        <f t="shared" si="60"/>
        <v>2017</v>
      </c>
      <c r="D222" s="35" t="s">
        <v>263</v>
      </c>
      <c r="E222" s="227">
        <v>42767</v>
      </c>
      <c r="F222" s="156">
        <v>675753.25</v>
      </c>
      <c r="G222" s="131">
        <f t="shared" si="61"/>
        <v>121094.98239999999</v>
      </c>
      <c r="H222" s="156">
        <v>1374.32</v>
      </c>
      <c r="I222" s="156">
        <v>0</v>
      </c>
      <c r="J222" s="156">
        <v>3411.2</v>
      </c>
      <c r="K222" s="131">
        <f t="shared" si="62"/>
        <v>4785.5199999999995</v>
      </c>
      <c r="L222" s="134">
        <v>0.1792</v>
      </c>
    </row>
    <row r="223" spans="3:12">
      <c r="C223" s="161">
        <f t="shared" si="60"/>
        <v>2017</v>
      </c>
      <c r="D223" s="35" t="s">
        <v>263</v>
      </c>
      <c r="E223" s="227">
        <v>42795</v>
      </c>
      <c r="F223" s="156">
        <v>432946.57</v>
      </c>
      <c r="G223" s="131">
        <f t="shared" si="61"/>
        <v>77584.025343999994</v>
      </c>
      <c r="H223" s="156">
        <v>8595.51</v>
      </c>
      <c r="I223" s="156">
        <v>7159.63</v>
      </c>
      <c r="J223" s="156">
        <v>266</v>
      </c>
      <c r="K223" s="131">
        <f t="shared" si="62"/>
        <v>16021.14</v>
      </c>
      <c r="L223" s="134">
        <v>0.1792</v>
      </c>
    </row>
    <row r="224" spans="3:12">
      <c r="C224" s="161">
        <f t="shared" si="60"/>
        <v>2017</v>
      </c>
      <c r="D224" s="35" t="s">
        <v>263</v>
      </c>
      <c r="E224" s="227">
        <v>42826</v>
      </c>
      <c r="F224" s="156">
        <v>457250.76</v>
      </c>
      <c r="G224" s="131">
        <f t="shared" si="61"/>
        <v>81939.336192000002</v>
      </c>
      <c r="H224" s="156">
        <v>2440.0500000000002</v>
      </c>
      <c r="I224" s="156">
        <v>8126.09</v>
      </c>
      <c r="J224" s="156">
        <v>0</v>
      </c>
      <c r="K224" s="131">
        <f t="shared" si="62"/>
        <v>10566.14</v>
      </c>
      <c r="L224" s="134">
        <v>0.1792</v>
      </c>
    </row>
    <row r="225" spans="3:12">
      <c r="C225" s="161">
        <f t="shared" si="60"/>
        <v>2017</v>
      </c>
      <c r="D225" s="35" t="s">
        <v>263</v>
      </c>
      <c r="E225" s="227">
        <v>42856</v>
      </c>
      <c r="F225" s="156">
        <v>434935.17</v>
      </c>
      <c r="G225" s="131">
        <f t="shared" si="61"/>
        <v>77940.382463999995</v>
      </c>
      <c r="H225" s="156">
        <v>3264.48</v>
      </c>
      <c r="I225" s="156">
        <v>382.86</v>
      </c>
      <c r="J225" s="156">
        <v>0</v>
      </c>
      <c r="K225" s="131">
        <f t="shared" si="62"/>
        <v>3647.34</v>
      </c>
      <c r="L225" s="134">
        <v>0.1792</v>
      </c>
    </row>
    <row r="226" spans="3:12">
      <c r="C226" s="161">
        <f t="shared" si="60"/>
        <v>2017</v>
      </c>
      <c r="D226" s="35" t="s">
        <v>263</v>
      </c>
      <c r="E226" s="227">
        <v>42887</v>
      </c>
      <c r="F226" s="156">
        <v>435919.59</v>
      </c>
      <c r="G226" s="131">
        <f t="shared" si="61"/>
        <v>78116.790527999998</v>
      </c>
      <c r="H226" s="156">
        <v>3698.89</v>
      </c>
      <c r="I226" s="156">
        <v>70409.59</v>
      </c>
      <c r="J226" s="156">
        <v>0</v>
      </c>
      <c r="K226" s="131">
        <f t="shared" si="62"/>
        <v>74108.479999999996</v>
      </c>
      <c r="L226" s="134">
        <v>0.1792</v>
      </c>
    </row>
    <row r="227" spans="3:12">
      <c r="C227" s="161">
        <f t="shared" si="60"/>
        <v>2017</v>
      </c>
      <c r="D227" s="35" t="s">
        <v>263</v>
      </c>
      <c r="E227" s="227">
        <v>42917</v>
      </c>
      <c r="F227" s="156">
        <v>455322.58</v>
      </c>
      <c r="G227" s="131">
        <f t="shared" si="61"/>
        <v>81593.806336000009</v>
      </c>
      <c r="H227" s="156">
        <v>13324.42</v>
      </c>
      <c r="I227" s="156">
        <v>47071.94</v>
      </c>
      <c r="J227" s="156">
        <v>8853.16</v>
      </c>
      <c r="K227" s="131">
        <f t="shared" si="62"/>
        <v>69249.52</v>
      </c>
      <c r="L227" s="134">
        <v>0.1792</v>
      </c>
    </row>
    <row r="228" spans="3:12">
      <c r="C228" s="161">
        <f t="shared" si="60"/>
        <v>2017</v>
      </c>
      <c r="D228" s="35" t="s">
        <v>263</v>
      </c>
      <c r="E228" s="227">
        <v>42948</v>
      </c>
      <c r="F228" s="156">
        <v>486299.89</v>
      </c>
      <c r="G228" s="131">
        <f t="shared" si="61"/>
        <v>87144.940287999998</v>
      </c>
      <c r="H228" s="156">
        <v>2729.88</v>
      </c>
      <c r="I228" s="156">
        <v>97329.05</v>
      </c>
      <c r="J228" s="156">
        <v>0</v>
      </c>
      <c r="K228" s="131">
        <f t="shared" si="62"/>
        <v>100058.93000000001</v>
      </c>
      <c r="L228" s="134">
        <v>0.1792</v>
      </c>
    </row>
    <row r="229" spans="3:12">
      <c r="C229" s="161">
        <f t="shared" si="60"/>
        <v>2017</v>
      </c>
      <c r="D229" s="35" t="s">
        <v>263</v>
      </c>
      <c r="E229" s="227">
        <v>42979</v>
      </c>
      <c r="F229" s="156">
        <v>548986.92000000004</v>
      </c>
      <c r="G229" s="131">
        <f t="shared" si="61"/>
        <v>98378.456064000013</v>
      </c>
      <c r="H229" s="156">
        <v>1608.97</v>
      </c>
      <c r="I229" s="156">
        <v>949.77</v>
      </c>
      <c r="J229" s="156">
        <v>0</v>
      </c>
      <c r="K229" s="131">
        <f t="shared" si="62"/>
        <v>2558.7399999999998</v>
      </c>
      <c r="L229" s="134">
        <v>0.1792</v>
      </c>
    </row>
    <row r="230" spans="3:12">
      <c r="C230" s="161">
        <f t="shared" si="60"/>
        <v>2017</v>
      </c>
      <c r="D230" s="35" t="s">
        <v>263</v>
      </c>
      <c r="E230" s="227">
        <v>43009</v>
      </c>
      <c r="F230" s="156">
        <v>507598.99</v>
      </c>
      <c r="G230" s="131">
        <f t="shared" si="61"/>
        <v>90961.739008000004</v>
      </c>
      <c r="H230" s="156">
        <v>2131.71</v>
      </c>
      <c r="I230" s="156">
        <v>71700.820000000007</v>
      </c>
      <c r="J230" s="156">
        <v>0</v>
      </c>
      <c r="K230" s="131">
        <f t="shared" si="62"/>
        <v>73832.530000000013</v>
      </c>
      <c r="L230" s="134">
        <v>0.1792</v>
      </c>
    </row>
    <row r="231" spans="3:12">
      <c r="C231" s="161">
        <f t="shared" si="60"/>
        <v>2017</v>
      </c>
      <c r="D231" s="35" t="s">
        <v>263</v>
      </c>
      <c r="E231" s="227">
        <v>43040</v>
      </c>
      <c r="F231" s="156">
        <v>491726.91</v>
      </c>
      <c r="G231" s="131">
        <f t="shared" si="61"/>
        <v>88117.46227199999</v>
      </c>
      <c r="H231" s="156">
        <v>1895.34</v>
      </c>
      <c r="I231" s="156">
        <v>408155.73</v>
      </c>
      <c r="J231" s="156">
        <v>138500</v>
      </c>
      <c r="K231" s="131">
        <f t="shared" si="62"/>
        <v>548551.07000000007</v>
      </c>
      <c r="L231" s="134">
        <v>0.1792</v>
      </c>
    </row>
    <row r="232" spans="3:12">
      <c r="C232" s="161">
        <f t="shared" si="60"/>
        <v>2017</v>
      </c>
      <c r="D232" s="35" t="s">
        <v>263</v>
      </c>
      <c r="E232" s="227">
        <v>43070</v>
      </c>
      <c r="F232" s="156">
        <v>486887.45</v>
      </c>
      <c r="G232" s="131">
        <f t="shared" si="61"/>
        <v>87250.231039999999</v>
      </c>
      <c r="H232" s="156">
        <v>1435.52</v>
      </c>
      <c r="I232" s="156">
        <v>6049.95</v>
      </c>
      <c r="J232" s="156">
        <v>16000</v>
      </c>
      <c r="K232" s="131">
        <f t="shared" si="62"/>
        <v>23485.47</v>
      </c>
      <c r="L232" s="134">
        <v>0.1792</v>
      </c>
    </row>
    <row r="233" spans="3:12">
      <c r="C233" s="161">
        <f t="shared" si="60"/>
        <v>2018</v>
      </c>
      <c r="D233" s="35" t="s">
        <v>263</v>
      </c>
      <c r="E233" s="227">
        <v>43101</v>
      </c>
      <c r="F233" s="156">
        <v>467204.92</v>
      </c>
      <c r="G233" s="131">
        <f t="shared" si="61"/>
        <v>83723.121663999991</v>
      </c>
      <c r="H233" s="156">
        <v>1135.2</v>
      </c>
      <c r="I233" s="156">
        <v>350155.07</v>
      </c>
      <c r="J233" s="156">
        <v>0</v>
      </c>
      <c r="K233" s="131">
        <f t="shared" si="62"/>
        <v>351290.27</v>
      </c>
      <c r="L233" s="134">
        <v>0.1792</v>
      </c>
    </row>
    <row r="234" spans="3:12">
      <c r="C234" s="161">
        <f t="shared" si="60"/>
        <v>2018</v>
      </c>
      <c r="D234" s="35" t="s">
        <v>263</v>
      </c>
      <c r="E234" s="227">
        <v>43132</v>
      </c>
      <c r="F234" s="156">
        <v>482766.01</v>
      </c>
      <c r="G234" s="131">
        <f t="shared" si="61"/>
        <v>86511.668992000006</v>
      </c>
      <c r="H234" s="156">
        <v>1385.79</v>
      </c>
      <c r="I234" s="156">
        <v>0</v>
      </c>
      <c r="J234" s="156">
        <v>0</v>
      </c>
      <c r="K234" s="131">
        <f t="shared" si="62"/>
        <v>1385.79</v>
      </c>
      <c r="L234" s="134">
        <v>0.1792</v>
      </c>
    </row>
    <row r="235" spans="3:12">
      <c r="C235" s="161">
        <f t="shared" si="60"/>
        <v>2018</v>
      </c>
      <c r="D235" s="35" t="s">
        <v>263</v>
      </c>
      <c r="E235" s="227">
        <v>43160</v>
      </c>
      <c r="F235" s="156">
        <v>461875.14</v>
      </c>
      <c r="G235" s="131">
        <f t="shared" si="61"/>
        <v>82768.025087999995</v>
      </c>
      <c r="H235" s="156">
        <v>2805.48</v>
      </c>
      <c r="I235" s="156">
        <v>25023.91</v>
      </c>
      <c r="J235" s="156">
        <v>0</v>
      </c>
      <c r="K235" s="131">
        <f t="shared" si="62"/>
        <v>27829.39</v>
      </c>
      <c r="L235" s="134">
        <v>0.1792</v>
      </c>
    </row>
    <row r="236" spans="3:12">
      <c r="C236" s="161">
        <f t="shared" si="60"/>
        <v>2018</v>
      </c>
      <c r="D236" s="35" t="s">
        <v>263</v>
      </c>
      <c r="E236" s="227">
        <v>43191</v>
      </c>
      <c r="F236" s="156">
        <v>470666.35</v>
      </c>
      <c r="G236" s="131">
        <f t="shared" si="61"/>
        <v>84343.409919999991</v>
      </c>
      <c r="H236" s="156">
        <v>959.64</v>
      </c>
      <c r="I236" s="156">
        <v>65185.74</v>
      </c>
      <c r="J236" s="156">
        <v>0</v>
      </c>
      <c r="K236" s="131">
        <f t="shared" si="62"/>
        <v>66145.38</v>
      </c>
      <c r="L236" s="134">
        <v>0.1792</v>
      </c>
    </row>
    <row r="237" spans="3:12">
      <c r="C237" s="161">
        <f t="shared" si="60"/>
        <v>2018</v>
      </c>
      <c r="D237" s="35" t="s">
        <v>263</v>
      </c>
      <c r="E237" s="227">
        <v>43221</v>
      </c>
      <c r="F237" s="156">
        <v>482968.71</v>
      </c>
      <c r="G237" s="131">
        <f t="shared" si="61"/>
        <v>86547.992832000004</v>
      </c>
      <c r="H237" s="156">
        <v>2994.46</v>
      </c>
      <c r="I237" s="156">
        <v>45892.02</v>
      </c>
      <c r="J237" s="156">
        <v>0</v>
      </c>
      <c r="K237" s="131">
        <f t="shared" si="62"/>
        <v>48886.479999999996</v>
      </c>
      <c r="L237" s="134">
        <v>0.1792</v>
      </c>
    </row>
    <row r="238" spans="3:12">
      <c r="C238" s="161">
        <f t="shared" si="60"/>
        <v>2018</v>
      </c>
      <c r="D238" s="35" t="s">
        <v>263</v>
      </c>
      <c r="E238" s="227">
        <v>43252</v>
      </c>
      <c r="F238" s="156">
        <v>454464.32</v>
      </c>
      <c r="G238" s="131">
        <f t="shared" si="61"/>
        <v>81440.006143999999</v>
      </c>
      <c r="H238" s="156">
        <v>1466.64</v>
      </c>
      <c r="I238" s="156">
        <v>3601.72</v>
      </c>
      <c r="J238" s="156">
        <v>0</v>
      </c>
      <c r="K238" s="131">
        <f t="shared" si="62"/>
        <v>5068.3599999999997</v>
      </c>
      <c r="L238" s="134">
        <v>0.1792</v>
      </c>
    </row>
    <row r="239" spans="3:12">
      <c r="C239" s="161">
        <f t="shared" si="60"/>
        <v>2018</v>
      </c>
      <c r="D239" s="35" t="s">
        <v>263</v>
      </c>
      <c r="E239" s="227">
        <v>43282</v>
      </c>
      <c r="F239" s="156">
        <v>470395.57</v>
      </c>
      <c r="G239" s="131">
        <f t="shared" si="61"/>
        <v>84294.886144000004</v>
      </c>
      <c r="H239" s="156">
        <v>1259.19</v>
      </c>
      <c r="I239" s="156">
        <v>159277.26</v>
      </c>
      <c r="J239" s="156">
        <v>623.54999999999995</v>
      </c>
      <c r="K239" s="131">
        <f t="shared" si="62"/>
        <v>161160</v>
      </c>
      <c r="L239" s="134">
        <v>0.1792</v>
      </c>
    </row>
    <row r="240" spans="3:12">
      <c r="C240" s="161">
        <f t="shared" si="60"/>
        <v>2018</v>
      </c>
      <c r="D240" s="35" t="s">
        <v>263</v>
      </c>
      <c r="E240" s="227">
        <v>43313</v>
      </c>
      <c r="F240" s="156">
        <v>463520.97</v>
      </c>
      <c r="G240" s="131">
        <f t="shared" si="61"/>
        <v>83062.957823999997</v>
      </c>
      <c r="H240" s="156">
        <v>14037.33</v>
      </c>
      <c r="I240" s="156">
        <v>193310.32</v>
      </c>
      <c r="J240" s="156">
        <v>0</v>
      </c>
      <c r="K240" s="131">
        <f t="shared" si="62"/>
        <v>207347.65</v>
      </c>
      <c r="L240" s="134">
        <v>0.1792</v>
      </c>
    </row>
    <row r="241" spans="3:12">
      <c r="C241" s="161">
        <f t="shared" si="60"/>
        <v>2018</v>
      </c>
      <c r="D241" s="35" t="s">
        <v>263</v>
      </c>
      <c r="E241" s="227">
        <v>43344</v>
      </c>
      <c r="F241" s="156">
        <v>488191.2</v>
      </c>
      <c r="G241" s="131">
        <f t="shared" si="61"/>
        <v>87483.863039999997</v>
      </c>
      <c r="H241" s="156">
        <v>10443.18</v>
      </c>
      <c r="I241" s="156">
        <v>534721.80000000005</v>
      </c>
      <c r="J241" s="156">
        <v>252.78</v>
      </c>
      <c r="K241" s="131">
        <f t="shared" si="62"/>
        <v>545417.76000000013</v>
      </c>
      <c r="L241" s="134">
        <v>0.1792</v>
      </c>
    </row>
    <row r="242" spans="3:12">
      <c r="C242" s="161">
        <f t="shared" si="60"/>
        <v>2018</v>
      </c>
      <c r="D242" s="35" t="s">
        <v>263</v>
      </c>
      <c r="E242" s="227">
        <v>43374</v>
      </c>
      <c r="F242" s="156">
        <v>517761.12</v>
      </c>
      <c r="G242" s="131">
        <f t="shared" si="61"/>
        <v>92782.792703999992</v>
      </c>
      <c r="H242" s="156">
        <v>2994.07</v>
      </c>
      <c r="I242" s="156">
        <v>102197.83</v>
      </c>
      <c r="J242" s="156">
        <v>0</v>
      </c>
      <c r="K242" s="131">
        <f t="shared" si="62"/>
        <v>105191.90000000001</v>
      </c>
      <c r="L242" s="134">
        <v>0.1792</v>
      </c>
    </row>
    <row r="243" spans="3:12">
      <c r="C243" s="161">
        <f t="shared" si="60"/>
        <v>2018</v>
      </c>
      <c r="D243" s="35" t="s">
        <v>263</v>
      </c>
      <c r="E243" s="227">
        <v>43405</v>
      </c>
      <c r="F243" s="156">
        <v>517098.42772500002</v>
      </c>
      <c r="G243" s="131">
        <f t="shared" si="61"/>
        <v>92664.038248320008</v>
      </c>
      <c r="H243" s="156">
        <v>1513.88</v>
      </c>
      <c r="I243" s="156">
        <v>80303.839999999997</v>
      </c>
      <c r="J243" s="156">
        <v>0</v>
      </c>
      <c r="K243" s="131">
        <f t="shared" si="62"/>
        <v>81817.72</v>
      </c>
      <c r="L243" s="134">
        <v>0.1792</v>
      </c>
    </row>
    <row r="244" spans="3:12">
      <c r="C244" s="161">
        <f t="shared" si="60"/>
        <v>2018</v>
      </c>
      <c r="D244" s="35" t="s">
        <v>263</v>
      </c>
      <c r="E244" s="227">
        <v>43435</v>
      </c>
      <c r="F244" s="156">
        <v>518180.9</v>
      </c>
      <c r="G244" s="131">
        <f t="shared" si="61"/>
        <v>92858.01728</v>
      </c>
      <c r="H244" s="156">
        <v>1688.57</v>
      </c>
      <c r="I244" s="156">
        <v>117978.22</v>
      </c>
      <c r="J244" s="156">
        <v>0</v>
      </c>
      <c r="K244" s="131">
        <f t="shared" si="62"/>
        <v>119666.79000000001</v>
      </c>
      <c r="L244" s="134">
        <v>0.1792</v>
      </c>
    </row>
    <row r="245" spans="3:12">
      <c r="C245" s="161">
        <f t="shared" si="60"/>
        <v>2019</v>
      </c>
      <c r="D245" s="35" t="s">
        <v>263</v>
      </c>
      <c r="E245" s="227">
        <v>43466</v>
      </c>
      <c r="F245" s="156">
        <v>533933.56000000006</v>
      </c>
      <c r="G245" s="131">
        <f t="shared" si="61"/>
        <v>95680.893952000013</v>
      </c>
      <c r="H245" s="156">
        <v>2046.44</v>
      </c>
      <c r="I245" s="156">
        <v>0</v>
      </c>
      <c r="J245" s="156">
        <v>0</v>
      </c>
      <c r="K245" s="131">
        <f t="shared" si="62"/>
        <v>2046.44</v>
      </c>
      <c r="L245" s="134">
        <v>0.1792</v>
      </c>
    </row>
    <row r="246" spans="3:12">
      <c r="C246" s="161">
        <f t="shared" si="60"/>
        <v>2019</v>
      </c>
      <c r="D246" s="35" t="s">
        <v>263</v>
      </c>
      <c r="E246" s="227">
        <v>43497</v>
      </c>
      <c r="F246" s="156">
        <v>512377.47</v>
      </c>
      <c r="G246" s="131">
        <f t="shared" si="61"/>
        <v>91818.042623999994</v>
      </c>
      <c r="H246" s="156">
        <v>3456.06</v>
      </c>
      <c r="I246" s="156">
        <v>28941.09</v>
      </c>
      <c r="J246" s="156">
        <v>0</v>
      </c>
      <c r="K246" s="131">
        <f t="shared" si="62"/>
        <v>32397.15</v>
      </c>
      <c r="L246" s="134">
        <v>0.1792</v>
      </c>
    </row>
    <row r="247" spans="3:12">
      <c r="C247" s="161">
        <f t="shared" si="60"/>
        <v>2019</v>
      </c>
      <c r="D247" s="35" t="s">
        <v>263</v>
      </c>
      <c r="E247" s="227">
        <v>43525</v>
      </c>
      <c r="F247" s="156">
        <v>476718.94</v>
      </c>
      <c r="G247" s="131">
        <f t="shared" si="61"/>
        <v>85428.034048000001</v>
      </c>
      <c r="H247" s="156">
        <v>5400.11</v>
      </c>
      <c r="I247" s="156">
        <v>30682.83</v>
      </c>
      <c r="J247" s="156">
        <v>0</v>
      </c>
      <c r="K247" s="131">
        <f t="shared" si="62"/>
        <v>36082.94</v>
      </c>
      <c r="L247" s="134">
        <v>0.1792</v>
      </c>
    </row>
    <row r="248" spans="3:12">
      <c r="C248" s="161">
        <f t="shared" si="60"/>
        <v>2019</v>
      </c>
      <c r="D248" s="35" t="s">
        <v>263</v>
      </c>
      <c r="E248" s="227">
        <v>43556</v>
      </c>
      <c r="F248" s="156">
        <v>509592.59</v>
      </c>
      <c r="G248" s="131">
        <f t="shared" si="61"/>
        <v>91318.992127999998</v>
      </c>
      <c r="H248" s="156">
        <v>3309.95</v>
      </c>
      <c r="I248" s="156">
        <v>3388.18</v>
      </c>
      <c r="J248" s="156">
        <v>12404.57</v>
      </c>
      <c r="K248" s="131">
        <f t="shared" si="62"/>
        <v>19102.699999999997</v>
      </c>
      <c r="L248" s="134">
        <v>0.1792</v>
      </c>
    </row>
    <row r="249" spans="3:12">
      <c r="C249" s="161">
        <f t="shared" si="60"/>
        <v>2019</v>
      </c>
      <c r="D249" s="35" t="s">
        <v>263</v>
      </c>
      <c r="E249" s="227">
        <v>43586</v>
      </c>
      <c r="F249" s="156">
        <v>485857.52</v>
      </c>
      <c r="G249" s="131">
        <f t="shared" si="61"/>
        <v>87065.667583999995</v>
      </c>
      <c r="H249" s="156">
        <v>5923.01</v>
      </c>
      <c r="I249" s="156">
        <v>34596.04</v>
      </c>
      <c r="J249" s="156">
        <v>0</v>
      </c>
      <c r="K249" s="131">
        <f t="shared" si="62"/>
        <v>40519.050000000003</v>
      </c>
      <c r="L249" s="134">
        <v>0.1792</v>
      </c>
    </row>
    <row r="250" spans="3:12">
      <c r="C250" s="161">
        <f t="shared" si="60"/>
        <v>2019</v>
      </c>
      <c r="D250" s="35" t="s">
        <v>263</v>
      </c>
      <c r="E250" s="227">
        <v>43617</v>
      </c>
      <c r="F250" s="156">
        <v>511315.42</v>
      </c>
      <c r="G250" s="131">
        <f t="shared" si="61"/>
        <v>91627.723264</v>
      </c>
      <c r="H250" s="156">
        <v>11879.47</v>
      </c>
      <c r="I250" s="156">
        <v>4083.09</v>
      </c>
      <c r="J250" s="156">
        <v>0</v>
      </c>
      <c r="K250" s="131">
        <f t="shared" si="62"/>
        <v>15962.56</v>
      </c>
      <c r="L250" s="134">
        <v>0.1792</v>
      </c>
    </row>
    <row r="251" spans="3:12">
      <c r="C251" s="161">
        <f t="shared" si="60"/>
        <v>2019</v>
      </c>
      <c r="D251" s="35" t="s">
        <v>263</v>
      </c>
      <c r="E251" s="227">
        <v>43647</v>
      </c>
      <c r="F251" s="156">
        <v>494631.11</v>
      </c>
      <c r="G251" s="131">
        <f t="shared" si="61"/>
        <v>88637.894912000003</v>
      </c>
      <c r="H251" s="156">
        <v>12071.54</v>
      </c>
      <c r="I251" s="156">
        <v>19771.919999999998</v>
      </c>
      <c r="J251" s="156">
        <v>2230.2600000000002</v>
      </c>
      <c r="K251" s="131">
        <f t="shared" si="62"/>
        <v>34073.72</v>
      </c>
      <c r="L251" s="134">
        <v>0.1792</v>
      </c>
    </row>
    <row r="252" spans="3:12">
      <c r="C252" s="161">
        <f t="shared" si="60"/>
        <v>2019</v>
      </c>
      <c r="D252" s="35" t="s">
        <v>263</v>
      </c>
      <c r="E252" s="227">
        <v>43678</v>
      </c>
      <c r="F252" s="156">
        <v>537165.38</v>
      </c>
      <c r="G252" s="131">
        <f t="shared" si="61"/>
        <v>96260.036095999996</v>
      </c>
      <c r="H252" s="156">
        <v>5729.85</v>
      </c>
      <c r="I252" s="156">
        <v>2090.29</v>
      </c>
      <c r="J252" s="156">
        <v>0</v>
      </c>
      <c r="K252" s="131">
        <f t="shared" si="62"/>
        <v>7820.14</v>
      </c>
      <c r="L252" s="134">
        <v>0.1792</v>
      </c>
    </row>
    <row r="253" spans="3:12">
      <c r="C253" s="161">
        <f t="shared" si="60"/>
        <v>2019</v>
      </c>
      <c r="D253" s="35" t="s">
        <v>263</v>
      </c>
      <c r="E253" s="227">
        <v>43709</v>
      </c>
      <c r="F253" s="156">
        <v>619678.27</v>
      </c>
      <c r="G253" s="131">
        <f t="shared" si="61"/>
        <v>111046.345984</v>
      </c>
      <c r="H253" s="156">
        <v>26889.32</v>
      </c>
      <c r="I253" s="156">
        <v>822.51</v>
      </c>
      <c r="J253" s="156">
        <v>328.2</v>
      </c>
      <c r="K253" s="131">
        <f t="shared" si="62"/>
        <v>28040.03</v>
      </c>
      <c r="L253" s="134">
        <v>0.1792</v>
      </c>
    </row>
    <row r="254" spans="3:12">
      <c r="C254" s="161">
        <f t="shared" si="60"/>
        <v>2019</v>
      </c>
      <c r="D254" s="35" t="s">
        <v>263</v>
      </c>
      <c r="E254" s="227">
        <v>43739</v>
      </c>
      <c r="F254" s="156">
        <v>561445.24</v>
      </c>
      <c r="G254" s="131">
        <f t="shared" si="61"/>
        <v>100610.987008</v>
      </c>
      <c r="H254" s="156">
        <v>8060.87</v>
      </c>
      <c r="I254" s="156">
        <v>130466.17</v>
      </c>
      <c r="J254" s="156">
        <v>0</v>
      </c>
      <c r="K254" s="131">
        <f t="shared" si="62"/>
        <v>138527.04000000001</v>
      </c>
      <c r="L254" s="134">
        <v>0.1792</v>
      </c>
    </row>
    <row r="255" spans="3:12">
      <c r="C255" s="161">
        <f t="shared" si="60"/>
        <v>2019</v>
      </c>
      <c r="D255" s="35" t="s">
        <v>263</v>
      </c>
      <c r="E255" s="227">
        <v>43770</v>
      </c>
      <c r="F255" s="156">
        <v>586901.25</v>
      </c>
      <c r="G255" s="131">
        <f t="shared" si="61"/>
        <v>105172.704</v>
      </c>
      <c r="H255" s="156">
        <v>5790.48</v>
      </c>
      <c r="I255" s="156">
        <v>9541.58</v>
      </c>
      <c r="J255" s="156">
        <v>0</v>
      </c>
      <c r="K255" s="131">
        <f t="shared" si="62"/>
        <v>15332.06</v>
      </c>
      <c r="L255" s="134">
        <v>0.1792</v>
      </c>
    </row>
    <row r="256" spans="3:12">
      <c r="C256" s="161">
        <f t="shared" si="60"/>
        <v>2019</v>
      </c>
      <c r="D256" s="35" t="s">
        <v>263</v>
      </c>
      <c r="E256" s="227">
        <v>43800</v>
      </c>
      <c r="F256" s="156">
        <v>555773.29</v>
      </c>
      <c r="G256" s="131">
        <f t="shared" si="61"/>
        <v>99594.573568000007</v>
      </c>
      <c r="H256" s="156">
        <v>2010.43</v>
      </c>
      <c r="I256" s="156">
        <v>13386.16</v>
      </c>
      <c r="J256" s="156">
        <v>0</v>
      </c>
      <c r="K256" s="131">
        <f t="shared" si="62"/>
        <v>15396.59</v>
      </c>
      <c r="L256" s="134">
        <v>0.1792</v>
      </c>
    </row>
    <row r="257" spans="3:12">
      <c r="C257" s="161">
        <f t="shared" si="60"/>
        <v>2020</v>
      </c>
      <c r="D257" s="35" t="s">
        <v>263</v>
      </c>
      <c r="E257" s="227">
        <v>43831</v>
      </c>
      <c r="F257" s="156">
        <v>561878.4</v>
      </c>
      <c r="G257" s="131">
        <f t="shared" si="61"/>
        <v>100688.60928</v>
      </c>
      <c r="H257" s="156">
        <v>2201.37</v>
      </c>
      <c r="I257" s="156">
        <v>1236.96</v>
      </c>
      <c r="J257" s="156">
        <v>380.02</v>
      </c>
      <c r="K257" s="131">
        <f t="shared" si="62"/>
        <v>3818.35</v>
      </c>
      <c r="L257" s="134">
        <v>0.1792</v>
      </c>
    </row>
    <row r="258" spans="3:12">
      <c r="C258" s="161">
        <f t="shared" si="60"/>
        <v>2020</v>
      </c>
      <c r="D258" s="35" t="s">
        <v>263</v>
      </c>
      <c r="E258" s="227">
        <v>43862</v>
      </c>
      <c r="F258" s="156">
        <v>539315.48</v>
      </c>
      <c r="G258" s="131">
        <f t="shared" si="61"/>
        <v>96645.334015999993</v>
      </c>
      <c r="H258" s="156">
        <v>2040.52</v>
      </c>
      <c r="I258" s="156">
        <v>0</v>
      </c>
      <c r="J258" s="156">
        <v>1354.83</v>
      </c>
      <c r="K258" s="131">
        <f t="shared" si="62"/>
        <v>3395.35</v>
      </c>
      <c r="L258" s="134">
        <v>0.1792</v>
      </c>
    </row>
    <row r="259" spans="3:12">
      <c r="C259" s="161">
        <f t="shared" si="60"/>
        <v>2020</v>
      </c>
      <c r="D259" s="35" t="s">
        <v>263</v>
      </c>
      <c r="E259" s="227">
        <v>43891</v>
      </c>
      <c r="F259" s="156">
        <v>562437.09142499999</v>
      </c>
      <c r="G259" s="131">
        <f t="shared" si="61"/>
        <v>100788.72678335999</v>
      </c>
      <c r="H259" s="156">
        <v>1739.47</v>
      </c>
      <c r="I259" s="156">
        <v>21337.66</v>
      </c>
      <c r="J259" s="156">
        <v>0</v>
      </c>
      <c r="K259" s="131">
        <f t="shared" si="62"/>
        <v>23077.13</v>
      </c>
      <c r="L259" s="134">
        <v>0.1792</v>
      </c>
    </row>
    <row r="260" spans="3:12">
      <c r="C260" s="161">
        <f t="shared" ref="C260:C323" si="63">YEAR(E260)</f>
        <v>2020</v>
      </c>
      <c r="D260" s="35" t="s">
        <v>263</v>
      </c>
      <c r="E260" s="227">
        <v>43922</v>
      </c>
      <c r="F260" s="156">
        <v>548775.132675</v>
      </c>
      <c r="G260" s="131">
        <f t="shared" ref="G260:G323" si="64">F260*L260</f>
        <v>98340.503775360005</v>
      </c>
      <c r="H260" s="156">
        <v>45071.06</v>
      </c>
      <c r="I260" s="156">
        <v>15951.22</v>
      </c>
      <c r="J260" s="156">
        <v>0</v>
      </c>
      <c r="K260" s="131">
        <f t="shared" ref="K260:K323" si="65">SUM(H260:J260)</f>
        <v>61022.28</v>
      </c>
      <c r="L260" s="134">
        <v>0.1792</v>
      </c>
    </row>
    <row r="261" spans="3:12">
      <c r="C261" s="161">
        <f t="shared" si="63"/>
        <v>2020</v>
      </c>
      <c r="D261" s="35" t="s">
        <v>263</v>
      </c>
      <c r="E261" s="227">
        <v>43952</v>
      </c>
      <c r="F261" s="156">
        <v>524191.35</v>
      </c>
      <c r="G261" s="131">
        <f t="shared" si="64"/>
        <v>93935.089919999999</v>
      </c>
      <c r="H261" s="156">
        <v>26855.11</v>
      </c>
      <c r="I261" s="156">
        <v>5945.91</v>
      </c>
      <c r="J261" s="156">
        <v>0</v>
      </c>
      <c r="K261" s="131">
        <f t="shared" si="65"/>
        <v>32801.020000000004</v>
      </c>
      <c r="L261" s="134">
        <v>0.1792</v>
      </c>
    </row>
    <row r="262" spans="3:12">
      <c r="C262" s="161">
        <f t="shared" si="63"/>
        <v>2020</v>
      </c>
      <c r="D262" s="35" t="s">
        <v>263</v>
      </c>
      <c r="E262" s="227">
        <v>43983</v>
      </c>
      <c r="F262" s="156">
        <v>515390.55</v>
      </c>
      <c r="G262" s="131">
        <f t="shared" si="64"/>
        <v>92357.98655999999</v>
      </c>
      <c r="H262" s="156">
        <v>19730.810000000001</v>
      </c>
      <c r="I262" s="156">
        <v>0</v>
      </c>
      <c r="J262" s="156">
        <v>0</v>
      </c>
      <c r="K262" s="131">
        <f t="shared" si="65"/>
        <v>19730.810000000001</v>
      </c>
      <c r="L262" s="134">
        <v>0.1792</v>
      </c>
    </row>
    <row r="263" spans="3:12">
      <c r="C263" s="161">
        <f t="shared" si="63"/>
        <v>2020</v>
      </c>
      <c r="D263" s="35" t="s">
        <v>263</v>
      </c>
      <c r="E263" s="227">
        <v>44013</v>
      </c>
      <c r="F263" s="156">
        <v>516527.24</v>
      </c>
      <c r="G263" s="131">
        <f t="shared" si="64"/>
        <v>92561.681408000004</v>
      </c>
      <c r="H263" s="156">
        <v>16612.21</v>
      </c>
      <c r="I263" s="156">
        <v>2781.67</v>
      </c>
      <c r="J263" s="156">
        <v>0</v>
      </c>
      <c r="K263" s="131">
        <f t="shared" si="65"/>
        <v>19393.879999999997</v>
      </c>
      <c r="L263" s="134">
        <v>0.1792</v>
      </c>
    </row>
    <row r="264" spans="3:12">
      <c r="C264" s="161">
        <f t="shared" si="63"/>
        <v>2020</v>
      </c>
      <c r="D264" s="35" t="s">
        <v>263</v>
      </c>
      <c r="E264" s="227">
        <v>44044</v>
      </c>
      <c r="F264" s="156">
        <v>577688.78</v>
      </c>
      <c r="G264" s="131">
        <f t="shared" si="64"/>
        <v>103521.82937600001</v>
      </c>
      <c r="H264" s="156">
        <v>5242.37</v>
      </c>
      <c r="I264" s="156">
        <v>15348.42</v>
      </c>
      <c r="J264" s="156">
        <v>0</v>
      </c>
      <c r="K264" s="131">
        <f t="shared" si="65"/>
        <v>20590.79</v>
      </c>
      <c r="L264" s="134">
        <v>0.1792</v>
      </c>
    </row>
    <row r="265" spans="3:12">
      <c r="C265" s="161">
        <f t="shared" si="63"/>
        <v>2020</v>
      </c>
      <c r="D265" s="35" t="s">
        <v>263</v>
      </c>
      <c r="E265" s="227">
        <v>44075</v>
      </c>
      <c r="F265" s="156">
        <v>602983.49</v>
      </c>
      <c r="G265" s="131">
        <f t="shared" si="64"/>
        <v>108054.641408</v>
      </c>
      <c r="H265" s="156">
        <v>2489.13</v>
      </c>
      <c r="I265" s="156">
        <v>4653.66</v>
      </c>
      <c r="J265" s="156">
        <v>0</v>
      </c>
      <c r="K265" s="131">
        <f t="shared" si="65"/>
        <v>7142.79</v>
      </c>
      <c r="L265" s="134">
        <v>0.1792</v>
      </c>
    </row>
    <row r="266" spans="3:12">
      <c r="C266" s="161">
        <f t="shared" si="63"/>
        <v>2020</v>
      </c>
      <c r="D266" s="35" t="s">
        <v>263</v>
      </c>
      <c r="E266" s="227">
        <v>44105</v>
      </c>
      <c r="F266" s="156">
        <v>633774.97</v>
      </c>
      <c r="G266" s="131">
        <f t="shared" si="64"/>
        <v>113572.47462399999</v>
      </c>
      <c r="H266" s="156">
        <v>2025.08</v>
      </c>
      <c r="I266" s="156">
        <v>1555.12</v>
      </c>
      <c r="J266" s="156">
        <v>0</v>
      </c>
      <c r="K266" s="131">
        <f t="shared" si="65"/>
        <v>3580.2</v>
      </c>
      <c r="L266" s="134">
        <v>0.1792</v>
      </c>
    </row>
    <row r="267" spans="3:12">
      <c r="C267" s="161">
        <f t="shared" si="63"/>
        <v>2020</v>
      </c>
      <c r="D267" s="35" t="s">
        <v>263</v>
      </c>
      <c r="E267" s="227">
        <v>44136</v>
      </c>
      <c r="F267" s="156">
        <v>573407.99</v>
      </c>
      <c r="G267" s="131">
        <f t="shared" si="64"/>
        <v>102754.71180799999</v>
      </c>
      <c r="H267" s="156">
        <v>40038.82</v>
      </c>
      <c r="I267" s="156">
        <v>92.13</v>
      </c>
      <c r="J267" s="156">
        <v>0</v>
      </c>
      <c r="K267" s="131">
        <f t="shared" si="65"/>
        <v>40130.949999999997</v>
      </c>
      <c r="L267" s="134">
        <v>0.1792</v>
      </c>
    </row>
    <row r="268" spans="3:12">
      <c r="C268" s="161">
        <f t="shared" si="63"/>
        <v>2020</v>
      </c>
      <c r="D268" s="35" t="s">
        <v>263</v>
      </c>
      <c r="E268" s="227">
        <v>44166</v>
      </c>
      <c r="F268" s="156">
        <v>623072.71</v>
      </c>
      <c r="G268" s="131">
        <f t="shared" si="64"/>
        <v>111654.629632</v>
      </c>
      <c r="H268" s="156">
        <v>2448.75</v>
      </c>
      <c r="I268" s="156">
        <v>389065.76</v>
      </c>
      <c r="J268" s="156">
        <v>0</v>
      </c>
      <c r="K268" s="131">
        <f t="shared" si="65"/>
        <v>391514.51</v>
      </c>
      <c r="L268" s="134">
        <v>0.1792</v>
      </c>
    </row>
    <row r="269" spans="3:12">
      <c r="C269" s="161">
        <f t="shared" si="63"/>
        <v>2021</v>
      </c>
      <c r="D269" s="35" t="s">
        <v>263</v>
      </c>
      <c r="E269" s="227">
        <v>44197</v>
      </c>
      <c r="F269" s="156">
        <v>601415.51</v>
      </c>
      <c r="G269" s="131">
        <f t="shared" si="64"/>
        <v>107773.659392</v>
      </c>
      <c r="H269" s="156">
        <v>2674.17</v>
      </c>
      <c r="I269" s="156">
        <v>92306.85</v>
      </c>
      <c r="J269" s="156">
        <v>0</v>
      </c>
      <c r="K269" s="131">
        <f t="shared" si="65"/>
        <v>94981.02</v>
      </c>
      <c r="L269" s="134">
        <v>0.1792</v>
      </c>
    </row>
    <row r="270" spans="3:12">
      <c r="C270" s="161">
        <f t="shared" si="63"/>
        <v>2021</v>
      </c>
      <c r="D270" s="35" t="s">
        <v>263</v>
      </c>
      <c r="E270" s="227">
        <v>44229</v>
      </c>
      <c r="F270" s="156">
        <v>580227.65</v>
      </c>
      <c r="G270" s="131">
        <f t="shared" si="64"/>
        <v>103976.79488</v>
      </c>
      <c r="H270" s="156">
        <v>2783.97</v>
      </c>
      <c r="I270" s="156">
        <v>196606.66</v>
      </c>
      <c r="J270" s="156">
        <v>778.79</v>
      </c>
      <c r="K270" s="131">
        <f t="shared" si="65"/>
        <v>200169.42</v>
      </c>
      <c r="L270" s="134">
        <v>0.1792</v>
      </c>
    </row>
    <row r="271" spans="3:12">
      <c r="C271" s="161">
        <f t="shared" si="63"/>
        <v>2021</v>
      </c>
      <c r="D271" s="35" t="s">
        <v>263</v>
      </c>
      <c r="E271" s="227">
        <v>44258</v>
      </c>
      <c r="F271" s="156">
        <v>549180.39</v>
      </c>
      <c r="G271" s="131">
        <f t="shared" si="64"/>
        <v>98413.125887999995</v>
      </c>
      <c r="H271" s="156">
        <v>3194.89</v>
      </c>
      <c r="I271" s="156">
        <v>162650.91</v>
      </c>
      <c r="J271" s="156">
        <v>4348</v>
      </c>
      <c r="K271" s="131">
        <f t="shared" si="65"/>
        <v>170193.80000000002</v>
      </c>
      <c r="L271" s="134">
        <v>0.1792</v>
      </c>
    </row>
    <row r="272" spans="3:12">
      <c r="C272" s="161">
        <f t="shared" si="63"/>
        <v>2021</v>
      </c>
      <c r="D272" s="35" t="s">
        <v>263</v>
      </c>
      <c r="E272" s="227">
        <v>44290</v>
      </c>
      <c r="F272" s="156">
        <v>607860.22</v>
      </c>
      <c r="G272" s="131">
        <f t="shared" si="64"/>
        <v>108928.55142399999</v>
      </c>
      <c r="H272" s="156">
        <v>10248.02</v>
      </c>
      <c r="I272" s="156">
        <v>274195.92</v>
      </c>
      <c r="J272" s="156">
        <v>0</v>
      </c>
      <c r="K272" s="131">
        <f t="shared" si="65"/>
        <v>284443.94</v>
      </c>
      <c r="L272" s="134">
        <v>0.1792</v>
      </c>
    </row>
    <row r="273" spans="3:12">
      <c r="C273" s="161">
        <f t="shared" si="63"/>
        <v>2021</v>
      </c>
      <c r="D273" s="35" t="s">
        <v>263</v>
      </c>
      <c r="E273" s="227">
        <v>44321</v>
      </c>
      <c r="F273" s="156">
        <v>583265.69999999995</v>
      </c>
      <c r="G273" s="131">
        <f t="shared" si="64"/>
        <v>104521.21343999999</v>
      </c>
      <c r="H273" s="156">
        <v>405640.23</v>
      </c>
      <c r="I273" s="156">
        <v>207641.8</v>
      </c>
      <c r="J273" s="156">
        <v>4150</v>
      </c>
      <c r="K273" s="131">
        <f t="shared" si="65"/>
        <v>617432.03</v>
      </c>
      <c r="L273" s="134">
        <v>0.1792</v>
      </c>
    </row>
    <row r="274" spans="3:12">
      <c r="C274" s="161">
        <f t="shared" si="63"/>
        <v>2021</v>
      </c>
      <c r="D274" s="35" t="s">
        <v>263</v>
      </c>
      <c r="E274" s="227">
        <v>44353</v>
      </c>
      <c r="F274" s="156">
        <v>588061.14</v>
      </c>
      <c r="G274" s="131">
        <f t="shared" si="64"/>
        <v>105380.55628800001</v>
      </c>
      <c r="H274" s="156">
        <v>2379.96</v>
      </c>
      <c r="I274" s="156">
        <v>95162.72</v>
      </c>
      <c r="J274" s="156">
        <v>0</v>
      </c>
      <c r="K274" s="131">
        <f t="shared" si="65"/>
        <v>97542.680000000008</v>
      </c>
      <c r="L274" s="134">
        <v>0.1792</v>
      </c>
    </row>
    <row r="275" spans="3:12">
      <c r="C275" s="161">
        <f t="shared" si="63"/>
        <v>2015</v>
      </c>
      <c r="D275" s="35" t="s">
        <v>264</v>
      </c>
      <c r="E275" s="227">
        <v>42309</v>
      </c>
      <c r="F275" s="156">
        <v>124301.08</v>
      </c>
      <c r="G275" s="131">
        <f t="shared" si="64"/>
        <v>22274.753536</v>
      </c>
      <c r="H275" s="156">
        <v>116.31</v>
      </c>
      <c r="I275" s="156">
        <v>0</v>
      </c>
      <c r="J275" s="156">
        <v>0</v>
      </c>
      <c r="K275" s="131">
        <f t="shared" si="65"/>
        <v>116.31</v>
      </c>
      <c r="L275" s="134">
        <v>0.1792</v>
      </c>
    </row>
    <row r="276" spans="3:12">
      <c r="C276" s="161">
        <f t="shared" si="63"/>
        <v>2015</v>
      </c>
      <c r="D276" s="35" t="s">
        <v>264</v>
      </c>
      <c r="E276" s="227">
        <v>42339</v>
      </c>
      <c r="F276" s="156">
        <v>114054.97</v>
      </c>
      <c r="G276" s="131">
        <f t="shared" si="64"/>
        <v>20438.650624000002</v>
      </c>
      <c r="H276" s="156">
        <v>489.67</v>
      </c>
      <c r="I276" s="156">
        <v>0</v>
      </c>
      <c r="J276" s="156">
        <v>0</v>
      </c>
      <c r="K276" s="131">
        <f t="shared" si="65"/>
        <v>489.67</v>
      </c>
      <c r="L276" s="134">
        <v>0.1792</v>
      </c>
    </row>
    <row r="277" spans="3:12">
      <c r="C277" s="161">
        <f t="shared" si="63"/>
        <v>2016</v>
      </c>
      <c r="D277" s="35" t="s">
        <v>264</v>
      </c>
      <c r="E277" s="227">
        <v>42370</v>
      </c>
      <c r="F277" s="156">
        <v>125988.5</v>
      </c>
      <c r="G277" s="131">
        <f t="shared" si="64"/>
        <v>22577.139200000001</v>
      </c>
      <c r="H277" s="156">
        <v>60.61</v>
      </c>
      <c r="I277" s="156">
        <v>0</v>
      </c>
      <c r="J277" s="156">
        <v>0</v>
      </c>
      <c r="K277" s="131">
        <f t="shared" si="65"/>
        <v>60.61</v>
      </c>
      <c r="L277" s="134">
        <v>0.1792</v>
      </c>
    </row>
    <row r="278" spans="3:12">
      <c r="C278" s="161">
        <f t="shared" si="63"/>
        <v>2016</v>
      </c>
      <c r="D278" s="35" t="s">
        <v>264</v>
      </c>
      <c r="E278" s="227">
        <v>42401</v>
      </c>
      <c r="F278" s="156">
        <v>122019.59</v>
      </c>
      <c r="G278" s="131">
        <f t="shared" si="64"/>
        <v>21865.910528</v>
      </c>
      <c r="H278" s="156">
        <v>411.22</v>
      </c>
      <c r="I278" s="156">
        <v>0</v>
      </c>
      <c r="J278" s="156">
        <v>0</v>
      </c>
      <c r="K278" s="131">
        <f t="shared" si="65"/>
        <v>411.22</v>
      </c>
      <c r="L278" s="134">
        <v>0.1792</v>
      </c>
    </row>
    <row r="279" spans="3:12">
      <c r="C279" s="161">
        <f t="shared" si="63"/>
        <v>2016</v>
      </c>
      <c r="D279" s="35" t="s">
        <v>264</v>
      </c>
      <c r="E279" s="227">
        <v>42430</v>
      </c>
      <c r="F279" s="156">
        <v>113174.16</v>
      </c>
      <c r="G279" s="131">
        <f t="shared" si="64"/>
        <v>20280.809472000001</v>
      </c>
      <c r="H279" s="156">
        <v>118783.39</v>
      </c>
      <c r="I279" s="156">
        <v>0</v>
      </c>
      <c r="J279" s="156">
        <v>0</v>
      </c>
      <c r="K279" s="131">
        <f t="shared" si="65"/>
        <v>118783.39</v>
      </c>
      <c r="L279" s="134">
        <v>0.1792</v>
      </c>
    </row>
    <row r="280" spans="3:12">
      <c r="C280" s="161">
        <f t="shared" si="63"/>
        <v>2016</v>
      </c>
      <c r="D280" s="35" t="s">
        <v>264</v>
      </c>
      <c r="E280" s="227">
        <v>42461</v>
      </c>
      <c r="F280" s="156">
        <v>127651</v>
      </c>
      <c r="G280" s="131">
        <f t="shared" si="64"/>
        <v>22875.0592</v>
      </c>
      <c r="H280" s="156">
        <v>512.22</v>
      </c>
      <c r="I280" s="156">
        <v>0</v>
      </c>
      <c r="J280" s="156">
        <v>0</v>
      </c>
      <c r="K280" s="131">
        <f t="shared" si="65"/>
        <v>512.22</v>
      </c>
      <c r="L280" s="134">
        <v>0.1792</v>
      </c>
    </row>
    <row r="281" spans="3:12">
      <c r="C281" s="161">
        <f t="shared" si="63"/>
        <v>2016</v>
      </c>
      <c r="D281" s="35" t="s">
        <v>264</v>
      </c>
      <c r="E281" s="227">
        <v>42491</v>
      </c>
      <c r="F281" s="156">
        <v>118774.44</v>
      </c>
      <c r="G281" s="131">
        <f t="shared" si="64"/>
        <v>21284.379648000002</v>
      </c>
      <c r="H281" s="156">
        <v>1243.6500000000001</v>
      </c>
      <c r="I281" s="156">
        <v>0</v>
      </c>
      <c r="J281" s="156">
        <v>0</v>
      </c>
      <c r="K281" s="131">
        <f t="shared" si="65"/>
        <v>1243.6500000000001</v>
      </c>
      <c r="L281" s="134">
        <v>0.1792</v>
      </c>
    </row>
    <row r="282" spans="3:12">
      <c r="C282" s="161">
        <f t="shared" si="63"/>
        <v>2016</v>
      </c>
      <c r="D282" s="35" t="s">
        <v>264</v>
      </c>
      <c r="E282" s="227">
        <v>42522</v>
      </c>
      <c r="F282" s="156">
        <v>109706.31</v>
      </c>
      <c r="G282" s="131">
        <f t="shared" si="64"/>
        <v>19659.370751999999</v>
      </c>
      <c r="H282" s="156">
        <v>475.79</v>
      </c>
      <c r="I282" s="156">
        <v>0</v>
      </c>
      <c r="J282" s="156">
        <v>1698</v>
      </c>
      <c r="K282" s="131">
        <f t="shared" si="65"/>
        <v>2173.79</v>
      </c>
      <c r="L282" s="134">
        <v>0.1792</v>
      </c>
    </row>
    <row r="283" spans="3:12">
      <c r="C283" s="161">
        <f t="shared" si="63"/>
        <v>2016</v>
      </c>
      <c r="D283" s="35" t="s">
        <v>264</v>
      </c>
      <c r="E283" s="227">
        <v>42552</v>
      </c>
      <c r="F283" s="156">
        <v>128858.08</v>
      </c>
      <c r="G283" s="131">
        <f t="shared" si="64"/>
        <v>23091.367935999999</v>
      </c>
      <c r="H283" s="156">
        <v>9715.6200000000008</v>
      </c>
      <c r="I283" s="156">
        <v>0</v>
      </c>
      <c r="J283" s="156">
        <v>3980</v>
      </c>
      <c r="K283" s="131">
        <f t="shared" si="65"/>
        <v>13695.62</v>
      </c>
      <c r="L283" s="134">
        <v>0.1792</v>
      </c>
    </row>
    <row r="284" spans="3:12">
      <c r="C284" s="161">
        <f t="shared" si="63"/>
        <v>2016</v>
      </c>
      <c r="D284" s="35" t="s">
        <v>264</v>
      </c>
      <c r="E284" s="227">
        <v>42583</v>
      </c>
      <c r="F284" s="156">
        <v>135170.06</v>
      </c>
      <c r="G284" s="131">
        <f t="shared" si="64"/>
        <v>24222.474751999998</v>
      </c>
      <c r="H284" s="156">
        <v>9825.36</v>
      </c>
      <c r="I284" s="156">
        <v>0</v>
      </c>
      <c r="J284" s="156">
        <v>3715.71</v>
      </c>
      <c r="K284" s="131">
        <f t="shared" si="65"/>
        <v>13541.07</v>
      </c>
      <c r="L284" s="134">
        <v>0.1792</v>
      </c>
    </row>
    <row r="285" spans="3:12">
      <c r="C285" s="161">
        <f t="shared" si="63"/>
        <v>2016</v>
      </c>
      <c r="D285" s="35" t="s">
        <v>264</v>
      </c>
      <c r="E285" s="227">
        <v>42614</v>
      </c>
      <c r="F285" s="156">
        <v>124704.13</v>
      </c>
      <c r="G285" s="131">
        <f t="shared" si="64"/>
        <v>22346.980095999999</v>
      </c>
      <c r="H285" s="156">
        <v>984.62</v>
      </c>
      <c r="I285" s="156">
        <v>0</v>
      </c>
      <c r="J285" s="156">
        <v>0</v>
      </c>
      <c r="K285" s="131">
        <f t="shared" si="65"/>
        <v>984.62</v>
      </c>
      <c r="L285" s="134">
        <v>0.1792</v>
      </c>
    </row>
    <row r="286" spans="3:12">
      <c r="C286" s="161">
        <f t="shared" si="63"/>
        <v>2016</v>
      </c>
      <c r="D286" s="35" t="s">
        <v>264</v>
      </c>
      <c r="E286" s="227">
        <v>42644</v>
      </c>
      <c r="F286" s="156">
        <v>138586.21</v>
      </c>
      <c r="G286" s="131">
        <f t="shared" si="64"/>
        <v>24834.648831999999</v>
      </c>
      <c r="H286" s="156">
        <v>122.64</v>
      </c>
      <c r="I286" s="156">
        <v>0</v>
      </c>
      <c r="J286" s="156">
        <v>0</v>
      </c>
      <c r="K286" s="131">
        <f t="shared" si="65"/>
        <v>122.64</v>
      </c>
      <c r="L286" s="134">
        <v>0.1792</v>
      </c>
    </row>
    <row r="287" spans="3:12">
      <c r="C287" s="161">
        <f t="shared" si="63"/>
        <v>2016</v>
      </c>
      <c r="D287" s="35" t="s">
        <v>264</v>
      </c>
      <c r="E287" s="227">
        <v>42675</v>
      </c>
      <c r="F287" s="156">
        <v>148069.59</v>
      </c>
      <c r="G287" s="131">
        <f t="shared" si="64"/>
        <v>26534.070528</v>
      </c>
      <c r="H287" s="156">
        <v>252.07</v>
      </c>
      <c r="I287" s="156">
        <v>0</v>
      </c>
      <c r="J287" s="156">
        <v>0</v>
      </c>
      <c r="K287" s="131">
        <f t="shared" si="65"/>
        <v>252.07</v>
      </c>
      <c r="L287" s="134">
        <v>0.1792</v>
      </c>
    </row>
    <row r="288" spans="3:12">
      <c r="C288" s="161">
        <f t="shared" si="63"/>
        <v>2016</v>
      </c>
      <c r="D288" s="35" t="s">
        <v>264</v>
      </c>
      <c r="E288" s="227">
        <v>42705</v>
      </c>
      <c r="F288" s="156">
        <v>141626.51</v>
      </c>
      <c r="G288" s="131">
        <f t="shared" si="64"/>
        <v>25379.470592000001</v>
      </c>
      <c r="H288" s="156">
        <v>565.91</v>
      </c>
      <c r="I288" s="156">
        <v>0</v>
      </c>
      <c r="J288" s="156">
        <v>0</v>
      </c>
      <c r="K288" s="131">
        <f t="shared" si="65"/>
        <v>565.91</v>
      </c>
      <c r="L288" s="134">
        <v>0.1792</v>
      </c>
    </row>
    <row r="289" spans="3:12">
      <c r="C289" s="161">
        <f t="shared" si="63"/>
        <v>2017</v>
      </c>
      <c r="D289" s="35" t="s">
        <v>264</v>
      </c>
      <c r="E289" s="227">
        <v>42736</v>
      </c>
      <c r="F289" s="156">
        <v>142907.48000000001</v>
      </c>
      <c r="G289" s="131">
        <f t="shared" si="64"/>
        <v>25609.020416000003</v>
      </c>
      <c r="H289" s="156">
        <v>554.44000000000005</v>
      </c>
      <c r="I289" s="156">
        <v>0</v>
      </c>
      <c r="J289" s="156">
        <v>336.2</v>
      </c>
      <c r="K289" s="131">
        <f t="shared" si="65"/>
        <v>890.6400000000001</v>
      </c>
      <c r="L289" s="134">
        <v>0.1792</v>
      </c>
    </row>
    <row r="290" spans="3:12">
      <c r="C290" s="161">
        <f t="shared" si="63"/>
        <v>2017</v>
      </c>
      <c r="D290" s="35" t="s">
        <v>264</v>
      </c>
      <c r="E290" s="227">
        <v>42767</v>
      </c>
      <c r="F290" s="156">
        <v>137042.65</v>
      </c>
      <c r="G290" s="131">
        <f t="shared" si="64"/>
        <v>24558.042879999997</v>
      </c>
      <c r="H290" s="156">
        <v>248.76</v>
      </c>
      <c r="I290" s="156">
        <v>0</v>
      </c>
      <c r="J290" s="156">
        <v>184.2</v>
      </c>
      <c r="K290" s="131">
        <f t="shared" si="65"/>
        <v>432.96</v>
      </c>
      <c r="L290" s="134">
        <v>0.1792</v>
      </c>
    </row>
    <row r="291" spans="3:12">
      <c r="C291" s="161">
        <f t="shared" si="63"/>
        <v>2017</v>
      </c>
      <c r="D291" s="35" t="s">
        <v>264</v>
      </c>
      <c r="E291" s="227">
        <v>42795</v>
      </c>
      <c r="F291" s="156">
        <v>135787.23000000001</v>
      </c>
      <c r="G291" s="131">
        <f t="shared" si="64"/>
        <v>24333.071616000001</v>
      </c>
      <c r="H291" s="156">
        <v>6965.37</v>
      </c>
      <c r="I291" s="156">
        <v>0</v>
      </c>
      <c r="J291" s="156">
        <v>1056</v>
      </c>
      <c r="K291" s="131">
        <f t="shared" si="65"/>
        <v>8021.37</v>
      </c>
      <c r="L291" s="134">
        <v>0.1792</v>
      </c>
    </row>
    <row r="292" spans="3:12">
      <c r="C292" s="161">
        <f t="shared" si="63"/>
        <v>2017</v>
      </c>
      <c r="D292" s="35" t="s">
        <v>264</v>
      </c>
      <c r="E292" s="227">
        <v>42826</v>
      </c>
      <c r="F292" s="156">
        <v>129627.56</v>
      </c>
      <c r="G292" s="131">
        <f t="shared" si="64"/>
        <v>23229.258751999998</v>
      </c>
      <c r="H292" s="156">
        <v>363.86</v>
      </c>
      <c r="I292" s="156">
        <v>0</v>
      </c>
      <c r="J292" s="156">
        <v>0</v>
      </c>
      <c r="K292" s="131">
        <f t="shared" si="65"/>
        <v>363.86</v>
      </c>
      <c r="L292" s="134">
        <v>0.1792</v>
      </c>
    </row>
    <row r="293" spans="3:12">
      <c r="C293" s="161">
        <f t="shared" si="63"/>
        <v>2017</v>
      </c>
      <c r="D293" s="35" t="s">
        <v>264</v>
      </c>
      <c r="E293" s="227">
        <v>42856</v>
      </c>
      <c r="F293" s="156">
        <v>122040.51</v>
      </c>
      <c r="G293" s="131">
        <f t="shared" si="64"/>
        <v>21869.659391999998</v>
      </c>
      <c r="H293" s="156">
        <v>507.54</v>
      </c>
      <c r="I293" s="156">
        <v>0</v>
      </c>
      <c r="J293" s="156">
        <v>0</v>
      </c>
      <c r="K293" s="131">
        <f t="shared" si="65"/>
        <v>507.54</v>
      </c>
      <c r="L293" s="134">
        <v>0.1792</v>
      </c>
    </row>
    <row r="294" spans="3:12">
      <c r="C294" s="161">
        <f t="shared" si="63"/>
        <v>2017</v>
      </c>
      <c r="D294" s="35" t="s">
        <v>264</v>
      </c>
      <c r="E294" s="227">
        <v>42887</v>
      </c>
      <c r="F294" s="156">
        <v>123356.69</v>
      </c>
      <c r="G294" s="131">
        <f t="shared" si="64"/>
        <v>22105.518848</v>
      </c>
      <c r="H294" s="156">
        <v>330.64</v>
      </c>
      <c r="I294" s="156">
        <v>0</v>
      </c>
      <c r="J294" s="156">
        <v>0</v>
      </c>
      <c r="K294" s="131">
        <f t="shared" si="65"/>
        <v>330.64</v>
      </c>
      <c r="L294" s="134">
        <v>0.1792</v>
      </c>
    </row>
    <row r="295" spans="3:12">
      <c r="C295" s="161">
        <f t="shared" si="63"/>
        <v>2017</v>
      </c>
      <c r="D295" s="35" t="s">
        <v>264</v>
      </c>
      <c r="E295" s="227">
        <v>42917</v>
      </c>
      <c r="F295" s="156">
        <v>124961.4</v>
      </c>
      <c r="G295" s="131">
        <f t="shared" si="64"/>
        <v>22393.082879999998</v>
      </c>
      <c r="H295" s="156">
        <v>43171.56</v>
      </c>
      <c r="I295" s="156">
        <v>0</v>
      </c>
      <c r="J295" s="156">
        <v>0</v>
      </c>
      <c r="K295" s="131">
        <f t="shared" si="65"/>
        <v>43171.56</v>
      </c>
      <c r="L295" s="134">
        <v>0.1792</v>
      </c>
    </row>
    <row r="296" spans="3:12">
      <c r="C296" s="161">
        <f t="shared" si="63"/>
        <v>2017</v>
      </c>
      <c r="D296" s="35" t="s">
        <v>264</v>
      </c>
      <c r="E296" s="227">
        <v>42948</v>
      </c>
      <c r="F296" s="156">
        <v>138656.29</v>
      </c>
      <c r="G296" s="131">
        <f t="shared" si="64"/>
        <v>24847.207168000001</v>
      </c>
      <c r="H296" s="156">
        <v>344.5</v>
      </c>
      <c r="I296" s="156">
        <v>0</v>
      </c>
      <c r="J296" s="156">
        <v>0</v>
      </c>
      <c r="K296" s="131">
        <f t="shared" si="65"/>
        <v>344.5</v>
      </c>
      <c r="L296" s="134">
        <v>0.1792</v>
      </c>
    </row>
    <row r="297" spans="3:12">
      <c r="C297" s="161">
        <f t="shared" si="63"/>
        <v>2017</v>
      </c>
      <c r="D297" s="35" t="s">
        <v>264</v>
      </c>
      <c r="E297" s="227">
        <v>42979</v>
      </c>
      <c r="F297" s="156">
        <v>145441.26999999999</v>
      </c>
      <c r="G297" s="131">
        <f t="shared" si="64"/>
        <v>26063.075583999998</v>
      </c>
      <c r="H297" s="156">
        <v>483.35</v>
      </c>
      <c r="I297" s="156">
        <v>0</v>
      </c>
      <c r="J297" s="156">
        <v>0</v>
      </c>
      <c r="K297" s="131">
        <f t="shared" si="65"/>
        <v>483.35</v>
      </c>
      <c r="L297" s="134">
        <v>0.1792</v>
      </c>
    </row>
    <row r="298" spans="3:12">
      <c r="C298" s="161">
        <f t="shared" si="63"/>
        <v>2017</v>
      </c>
      <c r="D298" s="35" t="s">
        <v>264</v>
      </c>
      <c r="E298" s="227">
        <v>43009</v>
      </c>
      <c r="F298" s="156">
        <v>142585.92000000001</v>
      </c>
      <c r="G298" s="131">
        <f t="shared" si="64"/>
        <v>25551.396864000002</v>
      </c>
      <c r="H298" s="156">
        <v>646.16999999999996</v>
      </c>
      <c r="I298" s="156">
        <v>0</v>
      </c>
      <c r="J298" s="156">
        <v>0</v>
      </c>
      <c r="K298" s="131">
        <f t="shared" si="65"/>
        <v>646.16999999999996</v>
      </c>
      <c r="L298" s="134">
        <v>0.1792</v>
      </c>
    </row>
    <row r="299" spans="3:12">
      <c r="C299" s="161">
        <f t="shared" si="63"/>
        <v>2017</v>
      </c>
      <c r="D299" s="35" t="s">
        <v>264</v>
      </c>
      <c r="E299" s="227">
        <v>43040</v>
      </c>
      <c r="F299" s="156">
        <v>136382.18</v>
      </c>
      <c r="G299" s="131">
        <f t="shared" si="64"/>
        <v>24439.686655999998</v>
      </c>
      <c r="H299" s="156">
        <v>228.31</v>
      </c>
      <c r="I299" s="156">
        <v>0</v>
      </c>
      <c r="J299" s="156">
        <v>0</v>
      </c>
      <c r="K299" s="131">
        <f t="shared" si="65"/>
        <v>228.31</v>
      </c>
      <c r="L299" s="134">
        <v>0.1792</v>
      </c>
    </row>
    <row r="300" spans="3:12">
      <c r="C300" s="161">
        <f t="shared" si="63"/>
        <v>2017</v>
      </c>
      <c r="D300" s="35" t="s">
        <v>264</v>
      </c>
      <c r="E300" s="227">
        <v>43070</v>
      </c>
      <c r="F300" s="156">
        <v>141615.66</v>
      </c>
      <c r="G300" s="131">
        <f t="shared" si="64"/>
        <v>25377.526271999999</v>
      </c>
      <c r="H300" s="156">
        <v>503.78</v>
      </c>
      <c r="I300" s="156">
        <v>0</v>
      </c>
      <c r="J300" s="156">
        <v>0</v>
      </c>
      <c r="K300" s="131">
        <f t="shared" si="65"/>
        <v>503.78</v>
      </c>
      <c r="L300" s="134">
        <v>0.1792</v>
      </c>
    </row>
    <row r="301" spans="3:12">
      <c r="C301" s="161">
        <f t="shared" si="63"/>
        <v>2018</v>
      </c>
      <c r="D301" s="35" t="s">
        <v>264</v>
      </c>
      <c r="E301" s="227">
        <v>43101</v>
      </c>
      <c r="F301" s="156">
        <v>148727.64000000001</v>
      </c>
      <c r="G301" s="131">
        <f t="shared" si="64"/>
        <v>26651.993088000003</v>
      </c>
      <c r="H301" s="156">
        <v>201.74</v>
      </c>
      <c r="I301" s="156">
        <v>0</v>
      </c>
      <c r="J301" s="156">
        <v>0</v>
      </c>
      <c r="K301" s="131">
        <f t="shared" si="65"/>
        <v>201.74</v>
      </c>
      <c r="L301" s="134">
        <v>0.1792</v>
      </c>
    </row>
    <row r="302" spans="3:12">
      <c r="C302" s="161">
        <f t="shared" si="63"/>
        <v>2018</v>
      </c>
      <c r="D302" s="35" t="s">
        <v>264</v>
      </c>
      <c r="E302" s="227">
        <v>43132</v>
      </c>
      <c r="F302" s="156">
        <v>141107.76999999999</v>
      </c>
      <c r="G302" s="131">
        <f t="shared" si="64"/>
        <v>25286.512383999998</v>
      </c>
      <c r="H302" s="156">
        <v>165.21</v>
      </c>
      <c r="I302" s="156">
        <v>0</v>
      </c>
      <c r="J302" s="156">
        <v>0</v>
      </c>
      <c r="K302" s="131">
        <f t="shared" si="65"/>
        <v>165.21</v>
      </c>
      <c r="L302" s="134">
        <v>0.1792</v>
      </c>
    </row>
    <row r="303" spans="3:12">
      <c r="C303" s="161">
        <f t="shared" si="63"/>
        <v>2018</v>
      </c>
      <c r="D303" s="35" t="s">
        <v>264</v>
      </c>
      <c r="E303" s="227">
        <v>43160</v>
      </c>
      <c r="F303" s="156">
        <v>122363.95</v>
      </c>
      <c r="G303" s="131">
        <f t="shared" si="64"/>
        <v>21927.619839999999</v>
      </c>
      <c r="H303" s="156">
        <v>43.32</v>
      </c>
      <c r="I303" s="156">
        <v>0</v>
      </c>
      <c r="J303" s="156">
        <v>0</v>
      </c>
      <c r="K303" s="131">
        <f t="shared" si="65"/>
        <v>43.32</v>
      </c>
      <c r="L303" s="134">
        <v>0.1792</v>
      </c>
    </row>
    <row r="304" spans="3:12">
      <c r="C304" s="161">
        <f t="shared" si="63"/>
        <v>2018</v>
      </c>
      <c r="D304" s="35" t="s">
        <v>264</v>
      </c>
      <c r="E304" s="227">
        <v>43191</v>
      </c>
      <c r="F304" s="156">
        <v>136731.26</v>
      </c>
      <c r="G304" s="131">
        <f t="shared" si="64"/>
        <v>24502.241792000001</v>
      </c>
      <c r="H304" s="156">
        <v>664.42</v>
      </c>
      <c r="I304" s="156">
        <v>0</v>
      </c>
      <c r="J304" s="156">
        <v>0</v>
      </c>
      <c r="K304" s="131">
        <f t="shared" si="65"/>
        <v>664.42</v>
      </c>
      <c r="L304" s="134">
        <v>0.1792</v>
      </c>
    </row>
    <row r="305" spans="3:12">
      <c r="C305" s="161">
        <f t="shared" si="63"/>
        <v>2018</v>
      </c>
      <c r="D305" s="35" t="s">
        <v>264</v>
      </c>
      <c r="E305" s="227">
        <v>43221</v>
      </c>
      <c r="F305" s="156">
        <v>143142.89000000001</v>
      </c>
      <c r="G305" s="131">
        <f t="shared" si="64"/>
        <v>25651.205888000004</v>
      </c>
      <c r="H305" s="156">
        <v>292.89999999999998</v>
      </c>
      <c r="I305" s="156">
        <v>0</v>
      </c>
      <c r="J305" s="156">
        <v>0</v>
      </c>
      <c r="K305" s="131">
        <f t="shared" si="65"/>
        <v>292.89999999999998</v>
      </c>
      <c r="L305" s="134">
        <v>0.1792</v>
      </c>
    </row>
    <row r="306" spans="3:12">
      <c r="C306" s="161">
        <f t="shared" si="63"/>
        <v>2018</v>
      </c>
      <c r="D306" s="35" t="s">
        <v>264</v>
      </c>
      <c r="E306" s="227">
        <v>43252</v>
      </c>
      <c r="F306" s="156">
        <v>134817.51</v>
      </c>
      <c r="G306" s="131">
        <f t="shared" si="64"/>
        <v>24159.297792000001</v>
      </c>
      <c r="H306" s="156">
        <v>141.31</v>
      </c>
      <c r="I306" s="156">
        <v>57823.97</v>
      </c>
      <c r="J306" s="156">
        <v>0</v>
      </c>
      <c r="K306" s="131">
        <f t="shared" si="65"/>
        <v>57965.279999999999</v>
      </c>
      <c r="L306" s="134">
        <v>0.1792</v>
      </c>
    </row>
    <row r="307" spans="3:12">
      <c r="C307" s="161">
        <f t="shared" si="63"/>
        <v>2018</v>
      </c>
      <c r="D307" s="35" t="s">
        <v>264</v>
      </c>
      <c r="E307" s="227">
        <v>43282</v>
      </c>
      <c r="F307" s="156">
        <v>134690.23000000001</v>
      </c>
      <c r="G307" s="131">
        <f t="shared" si="64"/>
        <v>24136.489216000002</v>
      </c>
      <c r="H307" s="156">
        <v>240.12</v>
      </c>
      <c r="I307" s="156">
        <v>0</v>
      </c>
      <c r="J307" s="156">
        <v>0</v>
      </c>
      <c r="K307" s="131">
        <f t="shared" si="65"/>
        <v>240.12</v>
      </c>
      <c r="L307" s="134">
        <v>0.1792</v>
      </c>
    </row>
    <row r="308" spans="3:12">
      <c r="C308" s="161">
        <f t="shared" si="63"/>
        <v>2018</v>
      </c>
      <c r="D308" s="35" t="s">
        <v>264</v>
      </c>
      <c r="E308" s="227">
        <v>43313</v>
      </c>
      <c r="F308" s="156">
        <v>136229.48000000001</v>
      </c>
      <c r="G308" s="131">
        <f t="shared" si="64"/>
        <v>24412.322816</v>
      </c>
      <c r="H308" s="156">
        <v>2962.95</v>
      </c>
      <c r="I308" s="156">
        <v>27385.85</v>
      </c>
      <c r="J308" s="156">
        <v>0</v>
      </c>
      <c r="K308" s="131">
        <f t="shared" si="65"/>
        <v>30348.799999999999</v>
      </c>
      <c r="L308" s="134">
        <v>0.1792</v>
      </c>
    </row>
    <row r="309" spans="3:12">
      <c r="C309" s="161">
        <f t="shared" si="63"/>
        <v>2018</v>
      </c>
      <c r="D309" s="35" t="s">
        <v>264</v>
      </c>
      <c r="E309" s="227">
        <v>43344</v>
      </c>
      <c r="F309" s="156">
        <v>138139.32999999999</v>
      </c>
      <c r="G309" s="131">
        <f t="shared" si="64"/>
        <v>24754.567935999996</v>
      </c>
      <c r="H309" s="156">
        <v>277.12</v>
      </c>
      <c r="I309" s="156">
        <v>72283.09</v>
      </c>
      <c r="J309" s="156">
        <v>0</v>
      </c>
      <c r="K309" s="131">
        <f t="shared" si="65"/>
        <v>72560.209999999992</v>
      </c>
      <c r="L309" s="134">
        <v>0.1792</v>
      </c>
    </row>
    <row r="310" spans="3:12">
      <c r="C310" s="161">
        <f t="shared" si="63"/>
        <v>2018</v>
      </c>
      <c r="D310" s="35" t="s">
        <v>264</v>
      </c>
      <c r="E310" s="227">
        <v>43374</v>
      </c>
      <c r="F310" s="156">
        <v>140435.10999999999</v>
      </c>
      <c r="G310" s="131">
        <f t="shared" si="64"/>
        <v>25165.971711999999</v>
      </c>
      <c r="H310" s="156">
        <v>188.55</v>
      </c>
      <c r="I310" s="156">
        <v>373671.06</v>
      </c>
      <c r="J310" s="156">
        <v>4577.26</v>
      </c>
      <c r="K310" s="131">
        <f t="shared" si="65"/>
        <v>378436.87</v>
      </c>
      <c r="L310" s="134">
        <v>0.1792</v>
      </c>
    </row>
    <row r="311" spans="3:12">
      <c r="C311" s="161">
        <f t="shared" si="63"/>
        <v>2018</v>
      </c>
      <c r="D311" s="35" t="s">
        <v>264</v>
      </c>
      <c r="E311" s="227">
        <v>43405</v>
      </c>
      <c r="F311" s="156">
        <v>153296.21587499999</v>
      </c>
      <c r="G311" s="131">
        <f t="shared" si="64"/>
        <v>27470.6818848</v>
      </c>
      <c r="H311" s="156">
        <v>452.89</v>
      </c>
      <c r="I311" s="156">
        <v>29252.85</v>
      </c>
      <c r="J311" s="156">
        <v>48771.57</v>
      </c>
      <c r="K311" s="131">
        <f t="shared" si="65"/>
        <v>78477.31</v>
      </c>
      <c r="L311" s="134">
        <v>0.1792</v>
      </c>
    </row>
    <row r="312" spans="3:12">
      <c r="C312" s="161">
        <f t="shared" si="63"/>
        <v>2018</v>
      </c>
      <c r="D312" s="35" t="s">
        <v>264</v>
      </c>
      <c r="E312" s="227">
        <v>43435</v>
      </c>
      <c r="F312" s="156">
        <v>153026.01999999999</v>
      </c>
      <c r="G312" s="131">
        <f t="shared" si="64"/>
        <v>27422.262783999999</v>
      </c>
      <c r="H312" s="156">
        <v>634.54</v>
      </c>
      <c r="I312" s="156">
        <v>206931.22</v>
      </c>
      <c r="J312" s="156">
        <v>4644.38</v>
      </c>
      <c r="K312" s="131">
        <f t="shared" si="65"/>
        <v>212210.14</v>
      </c>
      <c r="L312" s="134">
        <v>0.1792</v>
      </c>
    </row>
    <row r="313" spans="3:12">
      <c r="C313" s="161">
        <f t="shared" si="63"/>
        <v>2019</v>
      </c>
      <c r="D313" s="35" t="s">
        <v>264</v>
      </c>
      <c r="E313" s="227">
        <v>43466</v>
      </c>
      <c r="F313" s="156">
        <v>155331.13</v>
      </c>
      <c r="G313" s="131">
        <f t="shared" si="64"/>
        <v>27835.338496</v>
      </c>
      <c r="H313" s="156">
        <v>210.17</v>
      </c>
      <c r="I313" s="156">
        <v>0</v>
      </c>
      <c r="J313" s="156">
        <v>0</v>
      </c>
      <c r="K313" s="131">
        <f t="shared" si="65"/>
        <v>210.17</v>
      </c>
      <c r="L313" s="134">
        <v>0.1792</v>
      </c>
    </row>
    <row r="314" spans="3:12">
      <c r="C314" s="161">
        <f t="shared" si="63"/>
        <v>2019</v>
      </c>
      <c r="D314" s="35" t="s">
        <v>264</v>
      </c>
      <c r="E314" s="227">
        <v>43497</v>
      </c>
      <c r="F314" s="156">
        <v>156122.07</v>
      </c>
      <c r="G314" s="131">
        <f t="shared" si="64"/>
        <v>27977.074944</v>
      </c>
      <c r="H314" s="156">
        <v>10037.25</v>
      </c>
      <c r="I314" s="156">
        <v>171753.54</v>
      </c>
      <c r="J314" s="156">
        <v>0</v>
      </c>
      <c r="K314" s="131">
        <f t="shared" si="65"/>
        <v>181790.79</v>
      </c>
      <c r="L314" s="134">
        <v>0.1792</v>
      </c>
    </row>
    <row r="315" spans="3:12">
      <c r="C315" s="161">
        <f t="shared" si="63"/>
        <v>2019</v>
      </c>
      <c r="D315" s="35" t="s">
        <v>264</v>
      </c>
      <c r="E315" s="227">
        <v>43525</v>
      </c>
      <c r="F315" s="156">
        <v>131250.78</v>
      </c>
      <c r="G315" s="131">
        <f t="shared" si="64"/>
        <v>23520.139776</v>
      </c>
      <c r="H315" s="156">
        <v>131.5</v>
      </c>
      <c r="I315" s="156">
        <v>134566.75</v>
      </c>
      <c r="J315" s="156">
        <v>0</v>
      </c>
      <c r="K315" s="131">
        <f t="shared" si="65"/>
        <v>134698.25</v>
      </c>
      <c r="L315" s="134">
        <v>0.1792</v>
      </c>
    </row>
    <row r="316" spans="3:12">
      <c r="C316" s="161">
        <f t="shared" si="63"/>
        <v>2019</v>
      </c>
      <c r="D316" s="35" t="s">
        <v>264</v>
      </c>
      <c r="E316" s="227">
        <v>43556</v>
      </c>
      <c r="F316" s="156">
        <v>139895.42000000001</v>
      </c>
      <c r="G316" s="131">
        <f t="shared" si="64"/>
        <v>25069.259264</v>
      </c>
      <c r="H316" s="156">
        <v>447.96</v>
      </c>
      <c r="I316" s="156">
        <v>155538.1</v>
      </c>
      <c r="J316" s="156">
        <v>0</v>
      </c>
      <c r="K316" s="131">
        <f t="shared" si="65"/>
        <v>155986.06</v>
      </c>
      <c r="L316" s="134">
        <v>0.1792</v>
      </c>
    </row>
    <row r="317" spans="3:12">
      <c r="C317" s="161">
        <f t="shared" si="63"/>
        <v>2019</v>
      </c>
      <c r="D317" s="35" t="s">
        <v>264</v>
      </c>
      <c r="E317" s="227">
        <v>43586</v>
      </c>
      <c r="F317" s="156">
        <v>137643.97</v>
      </c>
      <c r="G317" s="131">
        <f t="shared" si="64"/>
        <v>24665.799424000001</v>
      </c>
      <c r="H317" s="156">
        <v>2234.44</v>
      </c>
      <c r="I317" s="156">
        <v>116761.01</v>
      </c>
      <c r="J317" s="156">
        <v>0</v>
      </c>
      <c r="K317" s="131">
        <f t="shared" si="65"/>
        <v>118995.45</v>
      </c>
      <c r="L317" s="134">
        <v>0.1792</v>
      </c>
    </row>
    <row r="318" spans="3:12">
      <c r="C318" s="161">
        <f t="shared" si="63"/>
        <v>2019</v>
      </c>
      <c r="D318" s="35" t="s">
        <v>264</v>
      </c>
      <c r="E318" s="227">
        <v>43617</v>
      </c>
      <c r="F318" s="156">
        <v>137274.75</v>
      </c>
      <c r="G318" s="131">
        <f t="shared" si="64"/>
        <v>24599.635200000001</v>
      </c>
      <c r="H318" s="156">
        <v>1237</v>
      </c>
      <c r="I318" s="156">
        <v>283972.32</v>
      </c>
      <c r="J318" s="156">
        <v>0</v>
      </c>
      <c r="K318" s="131">
        <f t="shared" si="65"/>
        <v>285209.32</v>
      </c>
      <c r="L318" s="134">
        <v>0.1792</v>
      </c>
    </row>
    <row r="319" spans="3:12">
      <c r="C319" s="161">
        <f t="shared" si="63"/>
        <v>2019</v>
      </c>
      <c r="D319" s="35" t="s">
        <v>264</v>
      </c>
      <c r="E319" s="227">
        <v>43647</v>
      </c>
      <c r="F319" s="156">
        <v>139858.98000000001</v>
      </c>
      <c r="G319" s="131">
        <f t="shared" si="64"/>
        <v>25062.729216000003</v>
      </c>
      <c r="H319" s="156">
        <v>546.59</v>
      </c>
      <c r="I319" s="156">
        <v>210813.14</v>
      </c>
      <c r="J319" s="156">
        <v>0</v>
      </c>
      <c r="K319" s="131">
        <f t="shared" si="65"/>
        <v>211359.73</v>
      </c>
      <c r="L319" s="134">
        <v>0.1792</v>
      </c>
    </row>
    <row r="320" spans="3:12">
      <c r="C320" s="161">
        <f t="shared" si="63"/>
        <v>2019</v>
      </c>
      <c r="D320" s="35" t="s">
        <v>264</v>
      </c>
      <c r="E320" s="227">
        <v>43678</v>
      </c>
      <c r="F320" s="156">
        <v>150100.47</v>
      </c>
      <c r="G320" s="131">
        <f t="shared" si="64"/>
        <v>26898.004224</v>
      </c>
      <c r="H320" s="156">
        <v>438.36</v>
      </c>
      <c r="I320" s="156">
        <v>290338.84999999998</v>
      </c>
      <c r="J320" s="156">
        <v>0</v>
      </c>
      <c r="K320" s="131">
        <f t="shared" si="65"/>
        <v>290777.20999999996</v>
      </c>
      <c r="L320" s="134">
        <v>0.1792</v>
      </c>
    </row>
    <row r="321" spans="3:12">
      <c r="C321" s="161">
        <f t="shared" si="63"/>
        <v>2019</v>
      </c>
      <c r="D321" s="35" t="s">
        <v>264</v>
      </c>
      <c r="E321" s="227">
        <v>43709</v>
      </c>
      <c r="F321" s="156">
        <v>158836.57</v>
      </c>
      <c r="G321" s="131">
        <f t="shared" si="64"/>
        <v>28463.513344000003</v>
      </c>
      <c r="H321" s="156">
        <v>247.51</v>
      </c>
      <c r="I321" s="156">
        <v>367499.36</v>
      </c>
      <c r="J321" s="156">
        <v>0</v>
      </c>
      <c r="K321" s="131">
        <f t="shared" si="65"/>
        <v>367746.87</v>
      </c>
      <c r="L321" s="134">
        <v>0.1792</v>
      </c>
    </row>
    <row r="322" spans="3:12">
      <c r="C322" s="161">
        <f t="shared" si="63"/>
        <v>2019</v>
      </c>
      <c r="D322" s="35" t="s">
        <v>264</v>
      </c>
      <c r="E322" s="227">
        <v>43739</v>
      </c>
      <c r="F322" s="156">
        <v>156648.45000000001</v>
      </c>
      <c r="G322" s="131">
        <f t="shared" si="64"/>
        <v>28071.402240000003</v>
      </c>
      <c r="H322" s="156">
        <v>11972.79</v>
      </c>
      <c r="I322" s="156">
        <v>166373.16</v>
      </c>
      <c r="J322" s="156">
        <v>0</v>
      </c>
      <c r="K322" s="131">
        <f t="shared" si="65"/>
        <v>178345.95</v>
      </c>
      <c r="L322" s="134">
        <v>0.1792</v>
      </c>
    </row>
    <row r="323" spans="3:12">
      <c r="C323" s="161">
        <f t="shared" si="63"/>
        <v>2019</v>
      </c>
      <c r="D323" s="35" t="s">
        <v>264</v>
      </c>
      <c r="E323" s="227">
        <v>43770</v>
      </c>
      <c r="F323" s="156">
        <v>172312.15</v>
      </c>
      <c r="G323" s="131">
        <f t="shared" si="64"/>
        <v>30878.33728</v>
      </c>
      <c r="H323" s="156">
        <v>424.61</v>
      </c>
      <c r="I323" s="156">
        <v>103715.98</v>
      </c>
      <c r="J323" s="156">
        <v>0</v>
      </c>
      <c r="K323" s="131">
        <f t="shared" si="65"/>
        <v>104140.59</v>
      </c>
      <c r="L323" s="134">
        <v>0.1792</v>
      </c>
    </row>
    <row r="324" spans="3:12">
      <c r="C324" s="161">
        <f t="shared" ref="C324:C387" si="66">YEAR(E324)</f>
        <v>2019</v>
      </c>
      <c r="D324" s="35" t="s">
        <v>264</v>
      </c>
      <c r="E324" s="227">
        <v>43800</v>
      </c>
      <c r="F324" s="156">
        <v>152717.63</v>
      </c>
      <c r="G324" s="131">
        <f t="shared" ref="G324:G387" si="67">F324*L324</f>
        <v>27366.999296000002</v>
      </c>
      <c r="H324" s="156">
        <v>179.52</v>
      </c>
      <c r="I324" s="156">
        <v>239973.4</v>
      </c>
      <c r="J324" s="156">
        <v>0</v>
      </c>
      <c r="K324" s="131">
        <f t="shared" ref="K324:K387" si="68">SUM(H324:J324)</f>
        <v>240152.91999999998</v>
      </c>
      <c r="L324" s="134">
        <v>0.1792</v>
      </c>
    </row>
    <row r="325" spans="3:12">
      <c r="C325" s="161">
        <f t="shared" si="66"/>
        <v>2020</v>
      </c>
      <c r="D325" s="35" t="s">
        <v>264</v>
      </c>
      <c r="E325" s="227">
        <v>43831</v>
      </c>
      <c r="F325" s="156">
        <v>154789.32999999999</v>
      </c>
      <c r="G325" s="131">
        <f t="shared" si="67"/>
        <v>27738.247935999996</v>
      </c>
      <c r="H325" s="156">
        <v>482.41</v>
      </c>
      <c r="I325" s="156">
        <v>87486.38</v>
      </c>
      <c r="J325" s="156">
        <v>0</v>
      </c>
      <c r="K325" s="131">
        <f t="shared" si="68"/>
        <v>87968.790000000008</v>
      </c>
      <c r="L325" s="134">
        <v>0.1792</v>
      </c>
    </row>
    <row r="326" spans="3:12">
      <c r="C326" s="161">
        <f t="shared" si="66"/>
        <v>2020</v>
      </c>
      <c r="D326" s="35" t="s">
        <v>264</v>
      </c>
      <c r="E326" s="227">
        <v>43862</v>
      </c>
      <c r="F326" s="156">
        <v>149992.14000000001</v>
      </c>
      <c r="G326" s="131">
        <f t="shared" si="67"/>
        <v>26878.591488000002</v>
      </c>
      <c r="H326" s="156">
        <v>578.33000000000004</v>
      </c>
      <c r="I326" s="156">
        <v>121748.13</v>
      </c>
      <c r="J326" s="156">
        <v>0</v>
      </c>
      <c r="K326" s="131">
        <f t="shared" si="68"/>
        <v>122326.46</v>
      </c>
      <c r="L326" s="134">
        <v>0.1792</v>
      </c>
    </row>
    <row r="327" spans="3:12">
      <c r="C327" s="161">
        <f t="shared" si="66"/>
        <v>2020</v>
      </c>
      <c r="D327" s="35" t="s">
        <v>264</v>
      </c>
      <c r="E327" s="227">
        <v>43891</v>
      </c>
      <c r="F327" s="156">
        <v>149534.0748</v>
      </c>
      <c r="G327" s="131">
        <f t="shared" si="67"/>
        <v>26796.506204159999</v>
      </c>
      <c r="H327" s="156">
        <v>502.74</v>
      </c>
      <c r="I327" s="156">
        <v>248331.59</v>
      </c>
      <c r="J327" s="156">
        <v>0</v>
      </c>
      <c r="K327" s="131">
        <f t="shared" si="68"/>
        <v>248834.33</v>
      </c>
      <c r="L327" s="134">
        <v>0.1792</v>
      </c>
    </row>
    <row r="328" spans="3:12">
      <c r="C328" s="161">
        <f t="shared" si="66"/>
        <v>2020</v>
      </c>
      <c r="D328" s="35" t="s">
        <v>264</v>
      </c>
      <c r="E328" s="227">
        <v>43922</v>
      </c>
      <c r="F328" s="156">
        <v>167631.212925</v>
      </c>
      <c r="G328" s="131">
        <f t="shared" si="67"/>
        <v>30039.513356160001</v>
      </c>
      <c r="H328" s="156">
        <v>2244.85</v>
      </c>
      <c r="I328" s="156">
        <v>5107.83</v>
      </c>
      <c r="J328" s="156">
        <v>0</v>
      </c>
      <c r="K328" s="131">
        <f t="shared" si="68"/>
        <v>7352.68</v>
      </c>
      <c r="L328" s="134">
        <v>0.1792</v>
      </c>
    </row>
    <row r="329" spans="3:12">
      <c r="C329" s="161">
        <f t="shared" si="66"/>
        <v>2020</v>
      </c>
      <c r="D329" s="35" t="s">
        <v>264</v>
      </c>
      <c r="E329" s="227">
        <v>43952</v>
      </c>
      <c r="F329" s="156">
        <v>148097.38</v>
      </c>
      <c r="G329" s="131">
        <f t="shared" si="67"/>
        <v>26539.050496</v>
      </c>
      <c r="H329" s="156">
        <v>635.41</v>
      </c>
      <c r="I329" s="156">
        <v>0</v>
      </c>
      <c r="J329" s="156">
        <v>0</v>
      </c>
      <c r="K329" s="131">
        <f t="shared" si="68"/>
        <v>635.41</v>
      </c>
      <c r="L329" s="134">
        <v>0.1792</v>
      </c>
    </row>
    <row r="330" spans="3:12">
      <c r="C330" s="161">
        <f t="shared" si="66"/>
        <v>2020</v>
      </c>
      <c r="D330" s="35" t="s">
        <v>264</v>
      </c>
      <c r="E330" s="227">
        <v>43983</v>
      </c>
      <c r="F330" s="156">
        <v>139551.76999999999</v>
      </c>
      <c r="G330" s="131">
        <f t="shared" si="67"/>
        <v>25007.677183999996</v>
      </c>
      <c r="H330" s="156">
        <v>138.69999999999999</v>
      </c>
      <c r="I330" s="156">
        <v>10645.28</v>
      </c>
      <c r="J330" s="156">
        <v>0</v>
      </c>
      <c r="K330" s="131">
        <f t="shared" si="68"/>
        <v>10783.980000000001</v>
      </c>
      <c r="L330" s="134">
        <v>0.1792</v>
      </c>
    </row>
    <row r="331" spans="3:12">
      <c r="C331" s="161">
        <f t="shared" si="66"/>
        <v>2020</v>
      </c>
      <c r="D331" s="35" t="s">
        <v>264</v>
      </c>
      <c r="E331" s="227">
        <v>44013</v>
      </c>
      <c r="F331" s="156">
        <v>140782.24</v>
      </c>
      <c r="G331" s="131">
        <f t="shared" si="67"/>
        <v>25228.177408</v>
      </c>
      <c r="H331" s="156">
        <v>761.1</v>
      </c>
      <c r="I331" s="156">
        <v>40.17</v>
      </c>
      <c r="J331" s="156">
        <v>0</v>
      </c>
      <c r="K331" s="131">
        <f t="shared" si="68"/>
        <v>801.27</v>
      </c>
      <c r="L331" s="134">
        <v>0.1792</v>
      </c>
    </row>
    <row r="332" spans="3:12">
      <c r="C332" s="161">
        <f t="shared" si="66"/>
        <v>2020</v>
      </c>
      <c r="D332" s="35" t="s">
        <v>264</v>
      </c>
      <c r="E332" s="227">
        <v>44044</v>
      </c>
      <c r="F332" s="156">
        <v>151414.89000000001</v>
      </c>
      <c r="G332" s="131">
        <f t="shared" si="67"/>
        <v>27133.548288000002</v>
      </c>
      <c r="H332" s="156">
        <v>3579.23</v>
      </c>
      <c r="I332" s="156">
        <v>3644.04</v>
      </c>
      <c r="J332" s="156">
        <v>4087.92</v>
      </c>
      <c r="K332" s="131">
        <f t="shared" si="68"/>
        <v>11311.19</v>
      </c>
      <c r="L332" s="134">
        <v>0.1792</v>
      </c>
    </row>
    <row r="333" spans="3:12">
      <c r="C333" s="161">
        <f t="shared" si="66"/>
        <v>2020</v>
      </c>
      <c r="D333" s="35" t="s">
        <v>264</v>
      </c>
      <c r="E333" s="227">
        <v>44075</v>
      </c>
      <c r="F333" s="156">
        <v>156556.39000000001</v>
      </c>
      <c r="G333" s="131">
        <f t="shared" si="67"/>
        <v>28054.905088000003</v>
      </c>
      <c r="H333" s="156">
        <v>9647.68</v>
      </c>
      <c r="I333" s="156">
        <v>131734.06</v>
      </c>
      <c r="J333" s="156">
        <v>4075.54</v>
      </c>
      <c r="K333" s="131">
        <f t="shared" si="68"/>
        <v>145457.28</v>
      </c>
      <c r="L333" s="134">
        <v>0.1792</v>
      </c>
    </row>
    <row r="334" spans="3:12">
      <c r="C334" s="161">
        <f t="shared" si="66"/>
        <v>2020</v>
      </c>
      <c r="D334" s="35" t="s">
        <v>264</v>
      </c>
      <c r="E334" s="227">
        <v>44105</v>
      </c>
      <c r="F334" s="156">
        <v>192180.77</v>
      </c>
      <c r="G334" s="131">
        <f t="shared" si="67"/>
        <v>34438.793983999996</v>
      </c>
      <c r="H334" s="156">
        <v>214.09</v>
      </c>
      <c r="I334" s="156">
        <v>75693.31</v>
      </c>
      <c r="J334" s="156">
        <v>0</v>
      </c>
      <c r="K334" s="131">
        <f t="shared" si="68"/>
        <v>75907.399999999994</v>
      </c>
      <c r="L334" s="134">
        <v>0.1792</v>
      </c>
    </row>
    <row r="335" spans="3:12">
      <c r="C335" s="161">
        <f t="shared" si="66"/>
        <v>2020</v>
      </c>
      <c r="D335" s="35" t="s">
        <v>264</v>
      </c>
      <c r="E335" s="227">
        <v>44136</v>
      </c>
      <c r="F335" s="156">
        <v>192633.53</v>
      </c>
      <c r="G335" s="131">
        <f t="shared" si="67"/>
        <v>34519.928575999998</v>
      </c>
      <c r="H335" s="156">
        <v>546.74</v>
      </c>
      <c r="I335" s="156">
        <v>5156.32</v>
      </c>
      <c r="J335" s="156">
        <v>0</v>
      </c>
      <c r="K335" s="131">
        <f t="shared" si="68"/>
        <v>5703.0599999999995</v>
      </c>
      <c r="L335" s="134">
        <v>0.1792</v>
      </c>
    </row>
    <row r="336" spans="3:12">
      <c r="C336" s="161">
        <f t="shared" si="66"/>
        <v>2020</v>
      </c>
      <c r="D336" s="35" t="s">
        <v>264</v>
      </c>
      <c r="E336" s="227">
        <v>44166</v>
      </c>
      <c r="F336" s="156">
        <v>196195.76</v>
      </c>
      <c r="G336" s="131">
        <f t="shared" si="67"/>
        <v>35158.280191999998</v>
      </c>
      <c r="H336" s="156">
        <v>1145.26</v>
      </c>
      <c r="I336" s="156">
        <v>9140.48</v>
      </c>
      <c r="J336" s="156">
        <v>0</v>
      </c>
      <c r="K336" s="131">
        <f t="shared" si="68"/>
        <v>10285.74</v>
      </c>
      <c r="L336" s="134">
        <v>0.1792</v>
      </c>
    </row>
    <row r="337" spans="3:12">
      <c r="C337" s="161">
        <f t="shared" si="66"/>
        <v>2021</v>
      </c>
      <c r="D337" s="35" t="s">
        <v>264</v>
      </c>
      <c r="E337" s="227">
        <v>44197</v>
      </c>
      <c r="F337" s="156">
        <v>194152.36</v>
      </c>
      <c r="G337" s="131">
        <f t="shared" si="67"/>
        <v>34792.102911999995</v>
      </c>
      <c r="H337" s="156">
        <v>752.47</v>
      </c>
      <c r="I337" s="156">
        <v>3761.36</v>
      </c>
      <c r="J337" s="156">
        <v>0</v>
      </c>
      <c r="K337" s="131">
        <f t="shared" si="68"/>
        <v>4513.83</v>
      </c>
      <c r="L337" s="134">
        <v>0.1792</v>
      </c>
    </row>
    <row r="338" spans="3:12">
      <c r="C338" s="161">
        <f t="shared" si="66"/>
        <v>2021</v>
      </c>
      <c r="D338" s="35" t="s">
        <v>264</v>
      </c>
      <c r="E338" s="227">
        <v>44229</v>
      </c>
      <c r="F338" s="156">
        <v>184183.11</v>
      </c>
      <c r="G338" s="131">
        <f t="shared" si="67"/>
        <v>33005.613311999994</v>
      </c>
      <c r="H338" s="156">
        <v>11123.4</v>
      </c>
      <c r="I338" s="156">
        <v>4038.79</v>
      </c>
      <c r="J338" s="156">
        <v>0</v>
      </c>
      <c r="K338" s="131">
        <f t="shared" si="68"/>
        <v>15162.189999999999</v>
      </c>
      <c r="L338" s="134">
        <v>0.1792</v>
      </c>
    </row>
    <row r="339" spans="3:12">
      <c r="C339" s="161">
        <f t="shared" si="66"/>
        <v>2021</v>
      </c>
      <c r="D339" s="35" t="s">
        <v>264</v>
      </c>
      <c r="E339" s="227">
        <v>44258</v>
      </c>
      <c r="F339" s="156">
        <v>192037.4</v>
      </c>
      <c r="G339" s="131">
        <f t="shared" si="67"/>
        <v>34413.102079999997</v>
      </c>
      <c r="H339" s="156">
        <v>21970.16</v>
      </c>
      <c r="I339" s="156">
        <v>1723.42</v>
      </c>
      <c r="J339" s="156">
        <v>0</v>
      </c>
      <c r="K339" s="131">
        <f t="shared" si="68"/>
        <v>23693.58</v>
      </c>
      <c r="L339" s="134">
        <v>0.1792</v>
      </c>
    </row>
    <row r="340" spans="3:12">
      <c r="C340" s="161">
        <f t="shared" si="66"/>
        <v>2021</v>
      </c>
      <c r="D340" s="35" t="s">
        <v>264</v>
      </c>
      <c r="E340" s="227">
        <v>44290</v>
      </c>
      <c r="F340" s="156">
        <v>206997.08</v>
      </c>
      <c r="G340" s="131">
        <f t="shared" si="67"/>
        <v>37093.876735999998</v>
      </c>
      <c r="H340" s="156">
        <v>4560.55</v>
      </c>
      <c r="I340" s="156">
        <v>10671.55</v>
      </c>
      <c r="J340" s="156">
        <v>0</v>
      </c>
      <c r="K340" s="131">
        <f t="shared" si="68"/>
        <v>15232.099999999999</v>
      </c>
      <c r="L340" s="134">
        <v>0.1792</v>
      </c>
    </row>
    <row r="341" spans="3:12">
      <c r="C341" s="161">
        <f t="shared" si="66"/>
        <v>2021</v>
      </c>
      <c r="D341" s="35" t="s">
        <v>264</v>
      </c>
      <c r="E341" s="227">
        <v>44321</v>
      </c>
      <c r="F341" s="156">
        <v>190340.13</v>
      </c>
      <c r="G341" s="131">
        <f t="shared" si="67"/>
        <v>34108.951295999999</v>
      </c>
      <c r="H341" s="156">
        <v>2838.99</v>
      </c>
      <c r="I341" s="156">
        <v>636.82000000000005</v>
      </c>
      <c r="J341" s="156">
        <v>0</v>
      </c>
      <c r="K341" s="131">
        <f t="shared" si="68"/>
        <v>3475.81</v>
      </c>
      <c r="L341" s="134">
        <v>0.1792</v>
      </c>
    </row>
    <row r="342" spans="3:12">
      <c r="C342" s="161">
        <f t="shared" si="66"/>
        <v>2021</v>
      </c>
      <c r="D342" s="35" t="s">
        <v>264</v>
      </c>
      <c r="E342" s="227">
        <v>44353</v>
      </c>
      <c r="F342" s="156">
        <v>177582.36</v>
      </c>
      <c r="G342" s="131">
        <f t="shared" si="67"/>
        <v>31822.758911999998</v>
      </c>
      <c r="H342" s="156">
        <v>1254.31</v>
      </c>
      <c r="I342" s="156">
        <v>640.38</v>
      </c>
      <c r="J342" s="156">
        <v>0</v>
      </c>
      <c r="K342" s="131">
        <f t="shared" si="68"/>
        <v>1894.69</v>
      </c>
      <c r="L342" s="134">
        <v>0.1792</v>
      </c>
    </row>
    <row r="343" spans="3:12">
      <c r="C343" s="161">
        <f t="shared" si="66"/>
        <v>2015</v>
      </c>
      <c r="D343" s="35" t="s">
        <v>265</v>
      </c>
      <c r="E343" s="227">
        <v>42309</v>
      </c>
      <c r="F343" s="156">
        <v>226303.47</v>
      </c>
      <c r="G343" s="131">
        <f t="shared" si="67"/>
        <v>40553.581824000001</v>
      </c>
      <c r="H343" s="156">
        <v>955.74</v>
      </c>
      <c r="I343" s="156">
        <v>233.44</v>
      </c>
      <c r="J343" s="156">
        <v>0</v>
      </c>
      <c r="K343" s="131">
        <f t="shared" si="68"/>
        <v>1189.18</v>
      </c>
      <c r="L343" s="134">
        <v>0.1792</v>
      </c>
    </row>
    <row r="344" spans="3:12">
      <c r="C344" s="161">
        <f t="shared" si="66"/>
        <v>2015</v>
      </c>
      <c r="D344" s="35" t="s">
        <v>265</v>
      </c>
      <c r="E344" s="227">
        <v>42339</v>
      </c>
      <c r="F344" s="156">
        <v>195898.51</v>
      </c>
      <c r="G344" s="131">
        <f t="shared" si="67"/>
        <v>35105.012992000004</v>
      </c>
      <c r="H344" s="156">
        <v>1137</v>
      </c>
      <c r="I344" s="156">
        <v>103.23</v>
      </c>
      <c r="J344" s="156">
        <v>0</v>
      </c>
      <c r="K344" s="131">
        <f t="shared" si="68"/>
        <v>1240.23</v>
      </c>
      <c r="L344" s="134">
        <v>0.1792</v>
      </c>
    </row>
    <row r="345" spans="3:12">
      <c r="C345" s="161">
        <f t="shared" si="66"/>
        <v>2016</v>
      </c>
      <c r="D345" s="35" t="s">
        <v>265</v>
      </c>
      <c r="E345" s="227">
        <v>42370</v>
      </c>
      <c r="F345" s="156">
        <v>220092.44</v>
      </c>
      <c r="G345" s="131">
        <f t="shared" si="67"/>
        <v>39440.565247999999</v>
      </c>
      <c r="H345" s="156">
        <v>4145.25</v>
      </c>
      <c r="I345" s="156">
        <v>0</v>
      </c>
      <c r="J345" s="156">
        <v>0</v>
      </c>
      <c r="K345" s="131">
        <f t="shared" si="68"/>
        <v>4145.25</v>
      </c>
      <c r="L345" s="134">
        <v>0.1792</v>
      </c>
    </row>
    <row r="346" spans="3:12">
      <c r="C346" s="161">
        <f t="shared" si="66"/>
        <v>2016</v>
      </c>
      <c r="D346" s="35" t="s">
        <v>265</v>
      </c>
      <c r="E346" s="227">
        <v>42401</v>
      </c>
      <c r="F346" s="156">
        <v>218552.47</v>
      </c>
      <c r="G346" s="131">
        <f t="shared" si="67"/>
        <v>39164.602623999999</v>
      </c>
      <c r="H346" s="156">
        <v>3931.01</v>
      </c>
      <c r="I346" s="156">
        <v>36.68</v>
      </c>
      <c r="J346" s="156">
        <v>0</v>
      </c>
      <c r="K346" s="131">
        <f t="shared" si="68"/>
        <v>3967.69</v>
      </c>
      <c r="L346" s="134">
        <v>0.1792</v>
      </c>
    </row>
    <row r="347" spans="3:12">
      <c r="C347" s="161">
        <f t="shared" si="66"/>
        <v>2016</v>
      </c>
      <c r="D347" s="35" t="s">
        <v>265</v>
      </c>
      <c r="E347" s="227">
        <v>42430</v>
      </c>
      <c r="F347" s="156">
        <v>197767.85</v>
      </c>
      <c r="G347" s="131">
        <f t="shared" si="67"/>
        <v>35439.998720000003</v>
      </c>
      <c r="H347" s="156">
        <v>5940.19</v>
      </c>
      <c r="I347" s="156">
        <v>486.69</v>
      </c>
      <c r="J347" s="156">
        <v>0</v>
      </c>
      <c r="K347" s="131">
        <f t="shared" si="68"/>
        <v>6426.8799999999992</v>
      </c>
      <c r="L347" s="134">
        <v>0.1792</v>
      </c>
    </row>
    <row r="348" spans="3:12">
      <c r="C348" s="161">
        <f t="shared" si="66"/>
        <v>2016</v>
      </c>
      <c r="D348" s="35" t="s">
        <v>265</v>
      </c>
      <c r="E348" s="227">
        <v>42461</v>
      </c>
      <c r="F348" s="156">
        <v>234063.6</v>
      </c>
      <c r="G348" s="131">
        <f t="shared" si="67"/>
        <v>41944.197119999997</v>
      </c>
      <c r="H348" s="156">
        <v>3083.25</v>
      </c>
      <c r="I348" s="156">
        <v>0</v>
      </c>
      <c r="J348" s="156">
        <v>0</v>
      </c>
      <c r="K348" s="131">
        <f t="shared" si="68"/>
        <v>3083.25</v>
      </c>
      <c r="L348" s="134">
        <v>0.1792</v>
      </c>
    </row>
    <row r="349" spans="3:12">
      <c r="C349" s="161">
        <f t="shared" si="66"/>
        <v>2016</v>
      </c>
      <c r="D349" s="35" t="s">
        <v>265</v>
      </c>
      <c r="E349" s="227">
        <v>42491</v>
      </c>
      <c r="F349" s="156">
        <v>201493.99</v>
      </c>
      <c r="G349" s="131">
        <f t="shared" si="67"/>
        <v>36107.723008000001</v>
      </c>
      <c r="H349" s="156">
        <v>0</v>
      </c>
      <c r="I349" s="156">
        <v>0</v>
      </c>
      <c r="J349" s="156">
        <v>0</v>
      </c>
      <c r="K349" s="131">
        <f t="shared" si="68"/>
        <v>0</v>
      </c>
      <c r="L349" s="134">
        <v>0.1792</v>
      </c>
    </row>
    <row r="350" spans="3:12">
      <c r="C350" s="161">
        <f t="shared" si="66"/>
        <v>2016</v>
      </c>
      <c r="D350" s="35" t="s">
        <v>265</v>
      </c>
      <c r="E350" s="227">
        <v>42522</v>
      </c>
      <c r="F350" s="156">
        <v>188062.73</v>
      </c>
      <c r="G350" s="131">
        <f t="shared" si="67"/>
        <v>33700.841216000001</v>
      </c>
      <c r="H350" s="156">
        <v>1725.25</v>
      </c>
      <c r="I350" s="156">
        <v>0</v>
      </c>
      <c r="J350" s="156">
        <v>3980</v>
      </c>
      <c r="K350" s="131">
        <f t="shared" si="68"/>
        <v>5705.25</v>
      </c>
      <c r="L350" s="134">
        <v>0.1792</v>
      </c>
    </row>
    <row r="351" spans="3:12">
      <c r="C351" s="161">
        <f t="shared" si="66"/>
        <v>2016</v>
      </c>
      <c r="D351" s="35" t="s">
        <v>265</v>
      </c>
      <c r="E351" s="227">
        <v>42552</v>
      </c>
      <c r="F351" s="156">
        <v>220230.27</v>
      </c>
      <c r="G351" s="131">
        <f t="shared" si="67"/>
        <v>39465.264383999995</v>
      </c>
      <c r="H351" s="156">
        <v>4884.3900000000003</v>
      </c>
      <c r="I351" s="156">
        <v>43.09</v>
      </c>
      <c r="J351" s="156">
        <v>456</v>
      </c>
      <c r="K351" s="131">
        <f t="shared" si="68"/>
        <v>5383.4800000000005</v>
      </c>
      <c r="L351" s="134">
        <v>0.1792</v>
      </c>
    </row>
    <row r="352" spans="3:12">
      <c r="C352" s="161">
        <f t="shared" si="66"/>
        <v>2016</v>
      </c>
      <c r="D352" s="35" t="s">
        <v>265</v>
      </c>
      <c r="E352" s="227">
        <v>42583</v>
      </c>
      <c r="F352" s="156">
        <v>225189.87</v>
      </c>
      <c r="G352" s="131">
        <f t="shared" si="67"/>
        <v>40354.024703999996</v>
      </c>
      <c r="H352" s="156">
        <v>1701.79</v>
      </c>
      <c r="I352" s="156">
        <v>45.26</v>
      </c>
      <c r="J352" s="156">
        <v>695.66</v>
      </c>
      <c r="K352" s="131">
        <f t="shared" si="68"/>
        <v>2442.71</v>
      </c>
      <c r="L352" s="134">
        <v>0.1792</v>
      </c>
    </row>
    <row r="353" spans="3:12">
      <c r="C353" s="161">
        <f t="shared" si="66"/>
        <v>2016</v>
      </c>
      <c r="D353" s="35" t="s">
        <v>265</v>
      </c>
      <c r="E353" s="227">
        <v>42614</v>
      </c>
      <c r="F353" s="156">
        <v>221367.81</v>
      </c>
      <c r="G353" s="131">
        <f t="shared" si="67"/>
        <v>39669.111552000002</v>
      </c>
      <c r="H353" s="156">
        <v>813.25</v>
      </c>
      <c r="I353" s="156">
        <v>0</v>
      </c>
      <c r="J353" s="156">
        <v>0</v>
      </c>
      <c r="K353" s="131">
        <f t="shared" si="68"/>
        <v>813.25</v>
      </c>
      <c r="L353" s="134">
        <v>0.1792</v>
      </c>
    </row>
    <row r="354" spans="3:12">
      <c r="C354" s="161">
        <f t="shared" si="66"/>
        <v>2016</v>
      </c>
      <c r="D354" s="35" t="s">
        <v>265</v>
      </c>
      <c r="E354" s="227">
        <v>42644</v>
      </c>
      <c r="F354" s="156">
        <v>238350.18</v>
      </c>
      <c r="G354" s="131">
        <f t="shared" si="67"/>
        <v>42712.352255999998</v>
      </c>
      <c r="H354" s="156">
        <v>2813.86</v>
      </c>
      <c r="I354" s="156">
        <v>86.79</v>
      </c>
      <c r="J354" s="156">
        <v>0</v>
      </c>
      <c r="K354" s="131">
        <f t="shared" si="68"/>
        <v>2900.65</v>
      </c>
      <c r="L354" s="134">
        <v>0.1792</v>
      </c>
    </row>
    <row r="355" spans="3:12">
      <c r="C355" s="161">
        <f t="shared" si="66"/>
        <v>2016</v>
      </c>
      <c r="D355" s="35" t="s">
        <v>265</v>
      </c>
      <c r="E355" s="227">
        <v>42675</v>
      </c>
      <c r="F355" s="156">
        <v>246614.08</v>
      </c>
      <c r="G355" s="131">
        <f t="shared" si="67"/>
        <v>44193.243135999997</v>
      </c>
      <c r="H355" s="156">
        <v>1176.6600000000001</v>
      </c>
      <c r="I355" s="156">
        <v>83.57</v>
      </c>
      <c r="J355" s="156">
        <v>0</v>
      </c>
      <c r="K355" s="131">
        <f t="shared" si="68"/>
        <v>1260.23</v>
      </c>
      <c r="L355" s="134">
        <v>0.1792</v>
      </c>
    </row>
    <row r="356" spans="3:12">
      <c r="C356" s="161">
        <f t="shared" si="66"/>
        <v>2016</v>
      </c>
      <c r="D356" s="35" t="s">
        <v>265</v>
      </c>
      <c r="E356" s="227">
        <v>42705</v>
      </c>
      <c r="F356" s="156">
        <v>247552.12</v>
      </c>
      <c r="G356" s="131">
        <f t="shared" si="67"/>
        <v>44361.339904</v>
      </c>
      <c r="H356" s="156">
        <v>1111.92</v>
      </c>
      <c r="I356" s="156">
        <v>0</v>
      </c>
      <c r="J356" s="156">
        <v>0</v>
      </c>
      <c r="K356" s="131">
        <f t="shared" si="68"/>
        <v>1111.92</v>
      </c>
      <c r="L356" s="134">
        <v>0.1792</v>
      </c>
    </row>
    <row r="357" spans="3:12">
      <c r="C357" s="161">
        <f t="shared" si="66"/>
        <v>2017</v>
      </c>
      <c r="D357" s="35" t="s">
        <v>265</v>
      </c>
      <c r="E357" s="227">
        <v>42736</v>
      </c>
      <c r="F357" s="156">
        <v>246997.92</v>
      </c>
      <c r="G357" s="131">
        <f t="shared" si="67"/>
        <v>44262.027264000004</v>
      </c>
      <c r="H357" s="156">
        <v>1175.8800000000001</v>
      </c>
      <c r="I357" s="156">
        <v>0</v>
      </c>
      <c r="J357" s="156">
        <v>0</v>
      </c>
      <c r="K357" s="131">
        <f t="shared" si="68"/>
        <v>1175.8800000000001</v>
      </c>
      <c r="L357" s="134">
        <v>0.1792</v>
      </c>
    </row>
    <row r="358" spans="3:12">
      <c r="C358" s="161">
        <f t="shared" si="66"/>
        <v>2017</v>
      </c>
      <c r="D358" s="35" t="s">
        <v>265</v>
      </c>
      <c r="E358" s="227">
        <v>42767</v>
      </c>
      <c r="F358" s="156">
        <v>247273.2</v>
      </c>
      <c r="G358" s="131">
        <f t="shared" si="67"/>
        <v>44311.35744</v>
      </c>
      <c r="H358" s="156">
        <v>540.47</v>
      </c>
      <c r="I358" s="156">
        <v>152.68</v>
      </c>
      <c r="J358" s="156">
        <v>974.2</v>
      </c>
      <c r="K358" s="131">
        <f t="shared" si="68"/>
        <v>1667.3500000000001</v>
      </c>
      <c r="L358" s="134">
        <v>0.1792</v>
      </c>
    </row>
    <row r="359" spans="3:12">
      <c r="C359" s="161">
        <f t="shared" si="66"/>
        <v>2017</v>
      </c>
      <c r="D359" s="35" t="s">
        <v>265</v>
      </c>
      <c r="E359" s="227">
        <v>42795</v>
      </c>
      <c r="F359" s="156">
        <v>230844.62</v>
      </c>
      <c r="G359" s="131">
        <f t="shared" si="67"/>
        <v>41367.355903999996</v>
      </c>
      <c r="H359" s="156">
        <v>1460.51</v>
      </c>
      <c r="I359" s="156">
        <v>0</v>
      </c>
      <c r="J359" s="156">
        <v>0</v>
      </c>
      <c r="K359" s="131">
        <f t="shared" si="68"/>
        <v>1460.51</v>
      </c>
      <c r="L359" s="134">
        <v>0.1792</v>
      </c>
    </row>
    <row r="360" spans="3:12">
      <c r="C360" s="161">
        <f t="shared" si="66"/>
        <v>2017</v>
      </c>
      <c r="D360" s="35" t="s">
        <v>265</v>
      </c>
      <c r="E360" s="227">
        <v>42826</v>
      </c>
      <c r="F360" s="156">
        <v>229442.27</v>
      </c>
      <c r="G360" s="131">
        <f t="shared" si="67"/>
        <v>41116.054784</v>
      </c>
      <c r="H360" s="156">
        <v>1296.02</v>
      </c>
      <c r="I360" s="156">
        <v>0</v>
      </c>
      <c r="J360" s="156">
        <v>0</v>
      </c>
      <c r="K360" s="131">
        <f t="shared" si="68"/>
        <v>1296.02</v>
      </c>
      <c r="L360" s="134">
        <v>0.1792</v>
      </c>
    </row>
    <row r="361" spans="3:12">
      <c r="C361" s="161">
        <f t="shared" si="66"/>
        <v>2017</v>
      </c>
      <c r="D361" s="35" t="s">
        <v>265</v>
      </c>
      <c r="E361" s="227">
        <v>42856</v>
      </c>
      <c r="F361" s="156">
        <v>212793.13</v>
      </c>
      <c r="G361" s="131">
        <f t="shared" si="67"/>
        <v>38132.528896000003</v>
      </c>
      <c r="H361" s="156">
        <v>2011.94</v>
      </c>
      <c r="I361" s="156">
        <v>0</v>
      </c>
      <c r="J361" s="156">
        <v>0</v>
      </c>
      <c r="K361" s="131">
        <f t="shared" si="68"/>
        <v>2011.94</v>
      </c>
      <c r="L361" s="134">
        <v>0.1792</v>
      </c>
    </row>
    <row r="362" spans="3:12">
      <c r="C362" s="161">
        <f t="shared" si="66"/>
        <v>2017</v>
      </c>
      <c r="D362" s="35" t="s">
        <v>265</v>
      </c>
      <c r="E362" s="227">
        <v>42887</v>
      </c>
      <c r="F362" s="156">
        <v>221267.58</v>
      </c>
      <c r="G362" s="131">
        <f t="shared" si="67"/>
        <v>39651.150335999999</v>
      </c>
      <c r="H362" s="156">
        <v>991.22</v>
      </c>
      <c r="I362" s="156">
        <v>0</v>
      </c>
      <c r="J362" s="156">
        <v>0</v>
      </c>
      <c r="K362" s="131">
        <f t="shared" si="68"/>
        <v>991.22</v>
      </c>
      <c r="L362" s="134">
        <v>0.1792</v>
      </c>
    </row>
    <row r="363" spans="3:12">
      <c r="C363" s="161">
        <f t="shared" si="66"/>
        <v>2017</v>
      </c>
      <c r="D363" s="35" t="s">
        <v>265</v>
      </c>
      <c r="E363" s="227">
        <v>42917</v>
      </c>
      <c r="F363" s="156">
        <v>229445.65</v>
      </c>
      <c r="G363" s="131">
        <f t="shared" si="67"/>
        <v>41116.660479999999</v>
      </c>
      <c r="H363" s="156">
        <v>1022.22</v>
      </c>
      <c r="I363" s="156">
        <v>0</v>
      </c>
      <c r="J363" s="156">
        <v>0</v>
      </c>
      <c r="K363" s="131">
        <f t="shared" si="68"/>
        <v>1022.22</v>
      </c>
      <c r="L363" s="134">
        <v>0.1792</v>
      </c>
    </row>
    <row r="364" spans="3:12">
      <c r="C364" s="161">
        <f t="shared" si="66"/>
        <v>2017</v>
      </c>
      <c r="D364" s="35" t="s">
        <v>265</v>
      </c>
      <c r="E364" s="227">
        <v>42948</v>
      </c>
      <c r="F364" s="156">
        <v>247762.42</v>
      </c>
      <c r="G364" s="131">
        <f t="shared" si="67"/>
        <v>44399.025664000001</v>
      </c>
      <c r="H364" s="156">
        <v>999.56</v>
      </c>
      <c r="I364" s="156">
        <v>75.95</v>
      </c>
      <c r="J364" s="156">
        <v>0</v>
      </c>
      <c r="K364" s="131">
        <f t="shared" si="68"/>
        <v>1075.51</v>
      </c>
      <c r="L364" s="134">
        <v>0.1792</v>
      </c>
    </row>
    <row r="365" spans="3:12">
      <c r="C365" s="161">
        <f t="shared" si="66"/>
        <v>2017</v>
      </c>
      <c r="D365" s="35" t="s">
        <v>265</v>
      </c>
      <c r="E365" s="227">
        <v>42979</v>
      </c>
      <c r="F365" s="156">
        <v>265367.81</v>
      </c>
      <c r="G365" s="131">
        <f t="shared" si="67"/>
        <v>47553.911551999998</v>
      </c>
      <c r="H365" s="156">
        <v>761.66</v>
      </c>
      <c r="I365" s="156">
        <v>0</v>
      </c>
      <c r="J365" s="156">
        <v>0</v>
      </c>
      <c r="K365" s="131">
        <f t="shared" si="68"/>
        <v>761.66</v>
      </c>
      <c r="L365" s="134">
        <v>0.1792</v>
      </c>
    </row>
    <row r="366" spans="3:12">
      <c r="C366" s="161">
        <f t="shared" si="66"/>
        <v>2017</v>
      </c>
      <c r="D366" s="35" t="s">
        <v>265</v>
      </c>
      <c r="E366" s="227">
        <v>43009</v>
      </c>
      <c r="F366" s="156">
        <v>247284.76</v>
      </c>
      <c r="G366" s="131">
        <f t="shared" si="67"/>
        <v>44313.428992000001</v>
      </c>
      <c r="H366" s="156">
        <v>1444.08</v>
      </c>
      <c r="I366" s="156">
        <v>0</v>
      </c>
      <c r="J366" s="156">
        <v>0</v>
      </c>
      <c r="K366" s="131">
        <f t="shared" si="68"/>
        <v>1444.08</v>
      </c>
      <c r="L366" s="134">
        <v>0.1792</v>
      </c>
    </row>
    <row r="367" spans="3:12">
      <c r="C367" s="161">
        <f t="shared" si="66"/>
        <v>2017</v>
      </c>
      <c r="D367" s="35" t="s">
        <v>265</v>
      </c>
      <c r="E367" s="227">
        <v>43040</v>
      </c>
      <c r="F367" s="156">
        <v>254038.54</v>
      </c>
      <c r="G367" s="131">
        <f t="shared" si="67"/>
        <v>45523.706367999999</v>
      </c>
      <c r="H367" s="156">
        <v>722.9</v>
      </c>
      <c r="I367" s="156">
        <v>0</v>
      </c>
      <c r="J367" s="156">
        <v>0</v>
      </c>
      <c r="K367" s="131">
        <f t="shared" si="68"/>
        <v>722.9</v>
      </c>
      <c r="L367" s="134">
        <v>0.1792</v>
      </c>
    </row>
    <row r="368" spans="3:12">
      <c r="C368" s="161">
        <f t="shared" si="66"/>
        <v>2017</v>
      </c>
      <c r="D368" s="35" t="s">
        <v>265</v>
      </c>
      <c r="E368" s="227">
        <v>43070</v>
      </c>
      <c r="F368" s="156">
        <v>255880.71</v>
      </c>
      <c r="G368" s="131">
        <f t="shared" si="67"/>
        <v>45853.823231999995</v>
      </c>
      <c r="H368" s="156">
        <v>397.57</v>
      </c>
      <c r="I368" s="156">
        <v>0</v>
      </c>
      <c r="J368" s="156">
        <v>0</v>
      </c>
      <c r="K368" s="131">
        <f t="shared" si="68"/>
        <v>397.57</v>
      </c>
      <c r="L368" s="134">
        <v>0.1792</v>
      </c>
    </row>
    <row r="369" spans="3:12">
      <c r="C369" s="161">
        <f t="shared" si="66"/>
        <v>2018</v>
      </c>
      <c r="D369" s="35" t="s">
        <v>265</v>
      </c>
      <c r="E369" s="227">
        <v>43101</v>
      </c>
      <c r="F369" s="156">
        <v>243823.85</v>
      </c>
      <c r="G369" s="131">
        <f t="shared" si="67"/>
        <v>43693.233919999999</v>
      </c>
      <c r="H369" s="156">
        <v>1135.8800000000001</v>
      </c>
      <c r="I369" s="156">
        <v>178.17</v>
      </c>
      <c r="J369" s="156">
        <v>0</v>
      </c>
      <c r="K369" s="131">
        <f t="shared" si="68"/>
        <v>1314.0500000000002</v>
      </c>
      <c r="L369" s="134">
        <v>0.1792</v>
      </c>
    </row>
    <row r="370" spans="3:12">
      <c r="C370" s="161">
        <f t="shared" si="66"/>
        <v>2018</v>
      </c>
      <c r="D370" s="35" t="s">
        <v>265</v>
      </c>
      <c r="E370" s="227">
        <v>43132</v>
      </c>
      <c r="F370" s="156">
        <v>257848.14</v>
      </c>
      <c r="G370" s="131">
        <f t="shared" si="67"/>
        <v>46206.386687999999</v>
      </c>
      <c r="H370" s="156">
        <v>178152.82</v>
      </c>
      <c r="I370" s="156">
        <v>0</v>
      </c>
      <c r="J370" s="156">
        <v>0</v>
      </c>
      <c r="K370" s="131">
        <f t="shared" si="68"/>
        <v>178152.82</v>
      </c>
      <c r="L370" s="134">
        <v>0.1792</v>
      </c>
    </row>
    <row r="371" spans="3:12">
      <c r="C371" s="161">
        <f t="shared" si="66"/>
        <v>2018</v>
      </c>
      <c r="D371" s="35" t="s">
        <v>265</v>
      </c>
      <c r="E371" s="227">
        <v>43160</v>
      </c>
      <c r="F371" s="156">
        <v>237834.07</v>
      </c>
      <c r="G371" s="131">
        <f t="shared" si="67"/>
        <v>42619.865343999998</v>
      </c>
      <c r="H371" s="156">
        <v>10029.030000000001</v>
      </c>
      <c r="I371" s="156">
        <v>391180.24</v>
      </c>
      <c r="J371" s="156">
        <v>0</v>
      </c>
      <c r="K371" s="131">
        <f t="shared" si="68"/>
        <v>401209.27</v>
      </c>
      <c r="L371" s="134">
        <v>0.1792</v>
      </c>
    </row>
    <row r="372" spans="3:12">
      <c r="C372" s="161">
        <f t="shared" si="66"/>
        <v>2018</v>
      </c>
      <c r="D372" s="35" t="s">
        <v>265</v>
      </c>
      <c r="E372" s="227">
        <v>43191</v>
      </c>
      <c r="F372" s="156">
        <v>250236.6</v>
      </c>
      <c r="G372" s="131">
        <f t="shared" si="67"/>
        <v>44842.398719999997</v>
      </c>
      <c r="H372" s="156">
        <v>450.27</v>
      </c>
      <c r="I372" s="156">
        <v>141.33000000000001</v>
      </c>
      <c r="J372" s="156">
        <v>0</v>
      </c>
      <c r="K372" s="131">
        <f t="shared" si="68"/>
        <v>591.6</v>
      </c>
      <c r="L372" s="134">
        <v>0.1792</v>
      </c>
    </row>
    <row r="373" spans="3:12">
      <c r="C373" s="161">
        <f t="shared" si="66"/>
        <v>2018</v>
      </c>
      <c r="D373" s="35" t="s">
        <v>265</v>
      </c>
      <c r="E373" s="227">
        <v>43221</v>
      </c>
      <c r="F373" s="156">
        <v>264676.09000000003</v>
      </c>
      <c r="G373" s="131">
        <f t="shared" si="67"/>
        <v>47429.955328000004</v>
      </c>
      <c r="H373" s="156">
        <v>892.31</v>
      </c>
      <c r="I373" s="156">
        <v>1350.03</v>
      </c>
      <c r="J373" s="156">
        <v>0</v>
      </c>
      <c r="K373" s="131">
        <f t="shared" si="68"/>
        <v>2242.34</v>
      </c>
      <c r="L373" s="134">
        <v>0.1792</v>
      </c>
    </row>
    <row r="374" spans="3:12">
      <c r="C374" s="161">
        <f t="shared" si="66"/>
        <v>2018</v>
      </c>
      <c r="D374" s="35" t="s">
        <v>265</v>
      </c>
      <c r="E374" s="227">
        <v>43252</v>
      </c>
      <c r="F374" s="156">
        <v>232673.72</v>
      </c>
      <c r="G374" s="131">
        <f t="shared" si="67"/>
        <v>41695.130623999998</v>
      </c>
      <c r="H374" s="156">
        <v>805.12</v>
      </c>
      <c r="I374" s="156">
        <v>0</v>
      </c>
      <c r="J374" s="156">
        <v>0</v>
      </c>
      <c r="K374" s="131">
        <f t="shared" si="68"/>
        <v>805.12</v>
      </c>
      <c r="L374" s="134">
        <v>0.1792</v>
      </c>
    </row>
    <row r="375" spans="3:12">
      <c r="C375" s="161">
        <f t="shared" si="66"/>
        <v>2018</v>
      </c>
      <c r="D375" s="35" t="s">
        <v>265</v>
      </c>
      <c r="E375" s="227">
        <v>43282</v>
      </c>
      <c r="F375" s="156">
        <v>249687.59</v>
      </c>
      <c r="G375" s="131">
        <f t="shared" si="67"/>
        <v>44744.016127999996</v>
      </c>
      <c r="H375" s="156">
        <v>939.61</v>
      </c>
      <c r="I375" s="156">
        <v>0</v>
      </c>
      <c r="J375" s="156">
        <v>0</v>
      </c>
      <c r="K375" s="131">
        <f t="shared" si="68"/>
        <v>939.61</v>
      </c>
      <c r="L375" s="134">
        <v>0.1792</v>
      </c>
    </row>
    <row r="376" spans="3:12">
      <c r="C376" s="161">
        <f t="shared" si="66"/>
        <v>2018</v>
      </c>
      <c r="D376" s="35" t="s">
        <v>265</v>
      </c>
      <c r="E376" s="227">
        <v>43313</v>
      </c>
      <c r="F376" s="156">
        <v>245003.91</v>
      </c>
      <c r="G376" s="131">
        <f t="shared" si="67"/>
        <v>43904.700671999999</v>
      </c>
      <c r="H376" s="156">
        <v>597.16</v>
      </c>
      <c r="I376" s="156">
        <v>0</v>
      </c>
      <c r="J376" s="156">
        <v>0</v>
      </c>
      <c r="K376" s="131">
        <f t="shared" si="68"/>
        <v>597.16</v>
      </c>
      <c r="L376" s="134">
        <v>0.1792</v>
      </c>
    </row>
    <row r="377" spans="3:12">
      <c r="C377" s="161">
        <f t="shared" si="66"/>
        <v>2018</v>
      </c>
      <c r="D377" s="35" t="s">
        <v>265</v>
      </c>
      <c r="E377" s="227">
        <v>43344</v>
      </c>
      <c r="F377" s="156">
        <v>244447.49</v>
      </c>
      <c r="G377" s="131">
        <f t="shared" si="67"/>
        <v>43804.990207999996</v>
      </c>
      <c r="H377" s="156">
        <v>17833.16</v>
      </c>
      <c r="I377" s="156">
        <v>204.31</v>
      </c>
      <c r="J377" s="156">
        <v>0</v>
      </c>
      <c r="K377" s="131">
        <f t="shared" si="68"/>
        <v>18037.47</v>
      </c>
      <c r="L377" s="134">
        <v>0.1792</v>
      </c>
    </row>
    <row r="378" spans="3:12">
      <c r="C378" s="161">
        <f t="shared" si="66"/>
        <v>2018</v>
      </c>
      <c r="D378" s="35" t="s">
        <v>265</v>
      </c>
      <c r="E378" s="227">
        <v>43374</v>
      </c>
      <c r="F378" s="156">
        <v>256740.08</v>
      </c>
      <c r="G378" s="131">
        <f t="shared" si="67"/>
        <v>46007.822335999997</v>
      </c>
      <c r="H378" s="156">
        <v>5377.73</v>
      </c>
      <c r="I378" s="156">
        <v>0</v>
      </c>
      <c r="J378" s="156">
        <v>0</v>
      </c>
      <c r="K378" s="131">
        <f t="shared" si="68"/>
        <v>5377.73</v>
      </c>
      <c r="L378" s="134">
        <v>0.1792</v>
      </c>
    </row>
    <row r="379" spans="3:12">
      <c r="C379" s="161">
        <f t="shared" si="66"/>
        <v>2018</v>
      </c>
      <c r="D379" s="35" t="s">
        <v>265</v>
      </c>
      <c r="E379" s="227">
        <v>43405</v>
      </c>
      <c r="F379" s="156">
        <v>266434.8126</v>
      </c>
      <c r="G379" s="131">
        <f t="shared" si="67"/>
        <v>47745.118417919999</v>
      </c>
      <c r="H379" s="156">
        <v>5421.94</v>
      </c>
      <c r="I379" s="156">
        <v>294.81</v>
      </c>
      <c r="J379" s="156">
        <v>0</v>
      </c>
      <c r="K379" s="131">
        <f t="shared" si="68"/>
        <v>5716.75</v>
      </c>
      <c r="L379" s="134">
        <v>0.1792</v>
      </c>
    </row>
    <row r="380" spans="3:12">
      <c r="C380" s="161">
        <f t="shared" si="66"/>
        <v>2018</v>
      </c>
      <c r="D380" s="35" t="s">
        <v>265</v>
      </c>
      <c r="E380" s="227">
        <v>43435</v>
      </c>
      <c r="F380" s="156">
        <v>283515.67</v>
      </c>
      <c r="G380" s="131">
        <f t="shared" si="67"/>
        <v>50806.008063999994</v>
      </c>
      <c r="H380" s="156">
        <v>17123.97</v>
      </c>
      <c r="I380" s="156">
        <v>212.02</v>
      </c>
      <c r="J380" s="156">
        <v>1958</v>
      </c>
      <c r="K380" s="131">
        <f t="shared" si="68"/>
        <v>19293.990000000002</v>
      </c>
      <c r="L380" s="134">
        <v>0.1792</v>
      </c>
    </row>
    <row r="381" spans="3:12">
      <c r="C381" s="161">
        <f t="shared" si="66"/>
        <v>2019</v>
      </c>
      <c r="D381" s="35" t="s">
        <v>265</v>
      </c>
      <c r="E381" s="227">
        <v>43466</v>
      </c>
      <c r="F381" s="156">
        <v>287419.96000000002</v>
      </c>
      <c r="G381" s="131">
        <f t="shared" si="67"/>
        <v>51505.656832000001</v>
      </c>
      <c r="H381" s="156">
        <v>820.9</v>
      </c>
      <c r="I381" s="156">
        <v>128.88</v>
      </c>
      <c r="J381" s="156">
        <v>0</v>
      </c>
      <c r="K381" s="131">
        <f t="shared" si="68"/>
        <v>949.78</v>
      </c>
      <c r="L381" s="134">
        <v>0.1792</v>
      </c>
    </row>
    <row r="382" spans="3:12">
      <c r="C382" s="161">
        <f t="shared" si="66"/>
        <v>2019</v>
      </c>
      <c r="D382" s="35" t="s">
        <v>265</v>
      </c>
      <c r="E382" s="227">
        <v>43497</v>
      </c>
      <c r="F382" s="156">
        <v>284654.67</v>
      </c>
      <c r="G382" s="131">
        <f t="shared" si="67"/>
        <v>51010.116863999996</v>
      </c>
      <c r="H382" s="156">
        <v>85265</v>
      </c>
      <c r="I382" s="156">
        <v>45.02</v>
      </c>
      <c r="J382" s="156">
        <v>0</v>
      </c>
      <c r="K382" s="131">
        <f t="shared" si="68"/>
        <v>85310.02</v>
      </c>
      <c r="L382" s="134">
        <v>0.1792</v>
      </c>
    </row>
    <row r="383" spans="3:12">
      <c r="C383" s="161">
        <f t="shared" si="66"/>
        <v>2019</v>
      </c>
      <c r="D383" s="35" t="s">
        <v>265</v>
      </c>
      <c r="E383" s="227">
        <v>43525</v>
      </c>
      <c r="F383" s="156">
        <v>250557.15</v>
      </c>
      <c r="G383" s="131">
        <f t="shared" si="67"/>
        <v>44899.841280000001</v>
      </c>
      <c r="H383" s="156">
        <v>171219.27</v>
      </c>
      <c r="I383" s="156">
        <v>178.34</v>
      </c>
      <c r="J383" s="156">
        <v>0</v>
      </c>
      <c r="K383" s="131">
        <f t="shared" si="68"/>
        <v>171397.61</v>
      </c>
      <c r="L383" s="134">
        <v>0.1792</v>
      </c>
    </row>
    <row r="384" spans="3:12">
      <c r="C384" s="161">
        <f t="shared" si="66"/>
        <v>2019</v>
      </c>
      <c r="D384" s="35" t="s">
        <v>265</v>
      </c>
      <c r="E384" s="227">
        <v>43556</v>
      </c>
      <c r="F384" s="156">
        <v>270181.40000000002</v>
      </c>
      <c r="G384" s="131">
        <f t="shared" si="67"/>
        <v>48416.506880000001</v>
      </c>
      <c r="H384" s="156">
        <v>119723.25</v>
      </c>
      <c r="I384" s="156">
        <v>14.88</v>
      </c>
      <c r="J384" s="156">
        <v>0</v>
      </c>
      <c r="K384" s="131">
        <f t="shared" si="68"/>
        <v>119738.13</v>
      </c>
      <c r="L384" s="134">
        <v>0.1792</v>
      </c>
    </row>
    <row r="385" spans="3:12">
      <c r="C385" s="161">
        <f t="shared" si="66"/>
        <v>2019</v>
      </c>
      <c r="D385" s="35" t="s">
        <v>265</v>
      </c>
      <c r="E385" s="227">
        <v>43586</v>
      </c>
      <c r="F385" s="156">
        <v>260633.53</v>
      </c>
      <c r="G385" s="131">
        <f t="shared" si="67"/>
        <v>46705.528575999997</v>
      </c>
      <c r="H385" s="156">
        <v>37801.46</v>
      </c>
      <c r="I385" s="156">
        <v>0</v>
      </c>
      <c r="J385" s="156">
        <v>0</v>
      </c>
      <c r="K385" s="131">
        <f t="shared" si="68"/>
        <v>37801.46</v>
      </c>
      <c r="L385" s="134">
        <v>0.1792</v>
      </c>
    </row>
    <row r="386" spans="3:12">
      <c r="C386" s="161">
        <f t="shared" si="66"/>
        <v>2019</v>
      </c>
      <c r="D386" s="35" t="s">
        <v>265</v>
      </c>
      <c r="E386" s="227">
        <v>43617</v>
      </c>
      <c r="F386" s="156">
        <v>261464.99</v>
      </c>
      <c r="G386" s="131">
        <f t="shared" si="67"/>
        <v>46854.526207999996</v>
      </c>
      <c r="H386" s="156">
        <v>90369.81</v>
      </c>
      <c r="I386" s="156">
        <v>0</v>
      </c>
      <c r="J386" s="156">
        <v>0</v>
      </c>
      <c r="K386" s="131">
        <f t="shared" si="68"/>
        <v>90369.81</v>
      </c>
      <c r="L386" s="134">
        <v>0.1792</v>
      </c>
    </row>
    <row r="387" spans="3:12">
      <c r="C387" s="161">
        <f t="shared" si="66"/>
        <v>2019</v>
      </c>
      <c r="D387" s="35" t="s">
        <v>265</v>
      </c>
      <c r="E387" s="227">
        <v>43647</v>
      </c>
      <c r="F387" s="156">
        <v>254363.15</v>
      </c>
      <c r="G387" s="131">
        <f t="shared" si="67"/>
        <v>45581.876479999999</v>
      </c>
      <c r="H387" s="156">
        <v>1338.97</v>
      </c>
      <c r="I387" s="156">
        <v>153.72999999999999</v>
      </c>
      <c r="J387" s="156">
        <v>0</v>
      </c>
      <c r="K387" s="131">
        <f t="shared" si="68"/>
        <v>1492.7</v>
      </c>
      <c r="L387" s="134">
        <v>0.1792</v>
      </c>
    </row>
    <row r="388" spans="3:12">
      <c r="C388" s="161">
        <f t="shared" ref="C388:C451" si="69">YEAR(E388)</f>
        <v>2019</v>
      </c>
      <c r="D388" s="35" t="s">
        <v>265</v>
      </c>
      <c r="E388" s="227">
        <v>43678</v>
      </c>
      <c r="F388" s="156">
        <v>279660.25</v>
      </c>
      <c r="G388" s="131">
        <f t="shared" ref="G388:G451" si="70">F388*L388</f>
        <v>50115.116799999996</v>
      </c>
      <c r="H388" s="156">
        <v>95740.27</v>
      </c>
      <c r="I388" s="156">
        <v>91.78</v>
      </c>
      <c r="J388" s="156">
        <v>0</v>
      </c>
      <c r="K388" s="131">
        <f t="shared" ref="K388:K451" si="71">SUM(H388:J388)</f>
        <v>95832.05</v>
      </c>
      <c r="L388" s="134">
        <v>0.1792</v>
      </c>
    </row>
    <row r="389" spans="3:12">
      <c r="C389" s="161">
        <f t="shared" si="69"/>
        <v>2019</v>
      </c>
      <c r="D389" s="35" t="s">
        <v>265</v>
      </c>
      <c r="E389" s="227">
        <v>43709</v>
      </c>
      <c r="F389" s="156">
        <v>309974.01</v>
      </c>
      <c r="G389" s="131">
        <f t="shared" si="70"/>
        <v>55547.342592000001</v>
      </c>
      <c r="H389" s="156">
        <v>1453.2</v>
      </c>
      <c r="I389" s="156">
        <v>133.31</v>
      </c>
      <c r="J389" s="156">
        <v>0</v>
      </c>
      <c r="K389" s="131">
        <f t="shared" si="71"/>
        <v>1586.51</v>
      </c>
      <c r="L389" s="134">
        <v>0.1792</v>
      </c>
    </row>
    <row r="390" spans="3:12">
      <c r="C390" s="161">
        <f t="shared" si="69"/>
        <v>2019</v>
      </c>
      <c r="D390" s="35" t="s">
        <v>265</v>
      </c>
      <c r="E390" s="227">
        <v>43739</v>
      </c>
      <c r="F390" s="156">
        <v>295791.09000000003</v>
      </c>
      <c r="G390" s="131">
        <f t="shared" si="70"/>
        <v>53005.763328000001</v>
      </c>
      <c r="H390" s="156">
        <v>1165.75</v>
      </c>
      <c r="I390" s="156">
        <v>45.64</v>
      </c>
      <c r="J390" s="156">
        <v>0</v>
      </c>
      <c r="K390" s="131">
        <f t="shared" si="71"/>
        <v>1211.3900000000001</v>
      </c>
      <c r="L390" s="134">
        <v>0.1792</v>
      </c>
    </row>
    <row r="391" spans="3:12">
      <c r="C391" s="161">
        <f t="shared" si="69"/>
        <v>2019</v>
      </c>
      <c r="D391" s="35" t="s">
        <v>265</v>
      </c>
      <c r="E391" s="227">
        <v>43770</v>
      </c>
      <c r="F391" s="156">
        <v>322898.68</v>
      </c>
      <c r="G391" s="131">
        <f t="shared" si="70"/>
        <v>57863.443456000001</v>
      </c>
      <c r="H391" s="156">
        <v>6494.02</v>
      </c>
      <c r="I391" s="156">
        <v>981.02</v>
      </c>
      <c r="J391" s="156">
        <v>0</v>
      </c>
      <c r="K391" s="131">
        <f t="shared" si="71"/>
        <v>7475.0400000000009</v>
      </c>
      <c r="L391" s="134">
        <v>0.1792</v>
      </c>
    </row>
    <row r="392" spans="3:12">
      <c r="C392" s="161">
        <f t="shared" si="69"/>
        <v>2019</v>
      </c>
      <c r="D392" s="35" t="s">
        <v>265</v>
      </c>
      <c r="E392" s="227">
        <v>43800</v>
      </c>
      <c r="F392" s="156">
        <v>287759.98</v>
      </c>
      <c r="G392" s="131">
        <f t="shared" si="70"/>
        <v>51566.588415999999</v>
      </c>
      <c r="H392" s="156">
        <v>4182.01</v>
      </c>
      <c r="I392" s="156">
        <v>2688.83</v>
      </c>
      <c r="J392" s="156">
        <v>0</v>
      </c>
      <c r="K392" s="131">
        <f t="shared" si="71"/>
        <v>6870.84</v>
      </c>
      <c r="L392" s="134">
        <v>0.1792</v>
      </c>
    </row>
    <row r="393" spans="3:12">
      <c r="C393" s="161">
        <f t="shared" si="69"/>
        <v>2020</v>
      </c>
      <c r="D393" s="35" t="s">
        <v>265</v>
      </c>
      <c r="E393" s="227">
        <v>43831</v>
      </c>
      <c r="F393" s="156">
        <v>288699.32</v>
      </c>
      <c r="G393" s="131">
        <f t="shared" si="70"/>
        <v>51734.918144000003</v>
      </c>
      <c r="H393" s="156">
        <v>821.71</v>
      </c>
      <c r="I393" s="156">
        <v>408.44</v>
      </c>
      <c r="J393" s="156">
        <v>0</v>
      </c>
      <c r="K393" s="131">
        <f t="shared" si="71"/>
        <v>1230.1500000000001</v>
      </c>
      <c r="L393" s="134">
        <v>0.1792</v>
      </c>
    </row>
    <row r="394" spans="3:12">
      <c r="C394" s="161">
        <f t="shared" si="69"/>
        <v>2020</v>
      </c>
      <c r="D394" s="35" t="s">
        <v>265</v>
      </c>
      <c r="E394" s="227">
        <v>43862</v>
      </c>
      <c r="F394" s="156">
        <v>285823.18</v>
      </c>
      <c r="G394" s="131">
        <f t="shared" si="70"/>
        <v>51219.513855999998</v>
      </c>
      <c r="H394" s="156">
        <v>1390.15</v>
      </c>
      <c r="I394" s="156">
        <v>1073.8</v>
      </c>
      <c r="J394" s="156">
        <v>0</v>
      </c>
      <c r="K394" s="131">
        <f t="shared" si="71"/>
        <v>2463.9499999999998</v>
      </c>
      <c r="L394" s="134">
        <v>0.1792</v>
      </c>
    </row>
    <row r="395" spans="3:12">
      <c r="C395" s="161">
        <f t="shared" si="69"/>
        <v>2020</v>
      </c>
      <c r="D395" s="35" t="s">
        <v>265</v>
      </c>
      <c r="E395" s="227">
        <v>43891</v>
      </c>
      <c r="F395" s="156">
        <v>288795.63982500002</v>
      </c>
      <c r="G395" s="131">
        <f t="shared" si="70"/>
        <v>51752.178656640004</v>
      </c>
      <c r="H395" s="156">
        <v>1585.5</v>
      </c>
      <c r="I395" s="156">
        <v>1054.3599999999999</v>
      </c>
      <c r="J395" s="156">
        <v>0</v>
      </c>
      <c r="K395" s="131">
        <f t="shared" si="71"/>
        <v>2639.8599999999997</v>
      </c>
      <c r="L395" s="134">
        <v>0.1792</v>
      </c>
    </row>
    <row r="396" spans="3:12">
      <c r="C396" s="161">
        <f t="shared" si="69"/>
        <v>2020</v>
      </c>
      <c r="D396" s="35" t="s">
        <v>265</v>
      </c>
      <c r="E396" s="227">
        <v>43922</v>
      </c>
      <c r="F396" s="156">
        <v>306784.49505000003</v>
      </c>
      <c r="G396" s="131">
        <f t="shared" si="70"/>
        <v>54975.781512960006</v>
      </c>
      <c r="H396" s="156">
        <v>725.13</v>
      </c>
      <c r="I396" s="156">
        <v>432.55</v>
      </c>
      <c r="J396" s="156">
        <v>0</v>
      </c>
      <c r="K396" s="131">
        <f t="shared" si="71"/>
        <v>1157.68</v>
      </c>
      <c r="L396" s="134">
        <v>0.1792</v>
      </c>
    </row>
    <row r="397" spans="3:12">
      <c r="C397" s="161">
        <f t="shared" si="69"/>
        <v>2020</v>
      </c>
      <c r="D397" s="35" t="s">
        <v>265</v>
      </c>
      <c r="E397" s="227">
        <v>43952</v>
      </c>
      <c r="F397" s="156">
        <v>274881.21000000002</v>
      </c>
      <c r="G397" s="131">
        <f t="shared" si="70"/>
        <v>49258.712832000005</v>
      </c>
      <c r="H397" s="156">
        <v>1167.17</v>
      </c>
      <c r="I397" s="156">
        <v>0</v>
      </c>
      <c r="J397" s="156">
        <v>0</v>
      </c>
      <c r="K397" s="131">
        <f t="shared" si="71"/>
        <v>1167.17</v>
      </c>
      <c r="L397" s="134">
        <v>0.1792</v>
      </c>
    </row>
    <row r="398" spans="3:12">
      <c r="C398" s="161">
        <f t="shared" si="69"/>
        <v>2020</v>
      </c>
      <c r="D398" s="35" t="s">
        <v>265</v>
      </c>
      <c r="E398" s="227">
        <v>43983</v>
      </c>
      <c r="F398" s="156">
        <v>277015.26</v>
      </c>
      <c r="G398" s="131">
        <f t="shared" si="70"/>
        <v>49641.134592000002</v>
      </c>
      <c r="H398" s="156">
        <v>622.67999999999995</v>
      </c>
      <c r="I398" s="156">
        <v>1517.24</v>
      </c>
      <c r="J398" s="156">
        <v>0</v>
      </c>
      <c r="K398" s="131">
        <f t="shared" si="71"/>
        <v>2139.92</v>
      </c>
      <c r="L398" s="134">
        <v>0.1792</v>
      </c>
    </row>
    <row r="399" spans="3:12">
      <c r="C399" s="161">
        <f t="shared" si="69"/>
        <v>2020</v>
      </c>
      <c r="D399" s="35" t="s">
        <v>265</v>
      </c>
      <c r="E399" s="227">
        <v>44013</v>
      </c>
      <c r="F399" s="156">
        <v>292936.43</v>
      </c>
      <c r="G399" s="131">
        <f t="shared" si="70"/>
        <v>52494.208255999998</v>
      </c>
      <c r="H399" s="156">
        <v>1826.61</v>
      </c>
      <c r="I399" s="156">
        <v>2129.4699999999998</v>
      </c>
      <c r="J399" s="156">
        <v>663.7</v>
      </c>
      <c r="K399" s="131">
        <f t="shared" si="71"/>
        <v>4619.78</v>
      </c>
      <c r="L399" s="134">
        <v>0.1792</v>
      </c>
    </row>
    <row r="400" spans="3:12">
      <c r="C400" s="161">
        <f t="shared" si="69"/>
        <v>2020</v>
      </c>
      <c r="D400" s="35" t="s">
        <v>265</v>
      </c>
      <c r="E400" s="227">
        <v>44044</v>
      </c>
      <c r="F400" s="156">
        <v>320226.90999999997</v>
      </c>
      <c r="G400" s="131">
        <f t="shared" si="70"/>
        <v>57384.662271999994</v>
      </c>
      <c r="H400" s="156">
        <v>564.54</v>
      </c>
      <c r="I400" s="156">
        <v>4129.38</v>
      </c>
      <c r="J400" s="156">
        <v>0</v>
      </c>
      <c r="K400" s="131">
        <f t="shared" si="71"/>
        <v>4693.92</v>
      </c>
      <c r="L400" s="134">
        <v>0.1792</v>
      </c>
    </row>
    <row r="401" spans="3:12">
      <c r="C401" s="161">
        <f t="shared" si="69"/>
        <v>2020</v>
      </c>
      <c r="D401" s="35" t="s">
        <v>265</v>
      </c>
      <c r="E401" s="227">
        <v>44075</v>
      </c>
      <c r="F401" s="156">
        <v>349579.01</v>
      </c>
      <c r="G401" s="131">
        <f t="shared" si="70"/>
        <v>62644.558592000001</v>
      </c>
      <c r="H401" s="156">
        <v>5578.77</v>
      </c>
      <c r="I401" s="156">
        <v>1290.83</v>
      </c>
      <c r="J401" s="156">
        <v>4075.54</v>
      </c>
      <c r="K401" s="131">
        <f t="shared" si="71"/>
        <v>10945.14</v>
      </c>
      <c r="L401" s="134">
        <v>0.1792</v>
      </c>
    </row>
    <row r="402" spans="3:12">
      <c r="C402" s="161">
        <f t="shared" si="69"/>
        <v>2020</v>
      </c>
      <c r="D402" s="35" t="s">
        <v>265</v>
      </c>
      <c r="E402" s="227">
        <v>44105</v>
      </c>
      <c r="F402" s="156">
        <v>364089.7</v>
      </c>
      <c r="G402" s="131">
        <f t="shared" si="70"/>
        <v>65244.874240000005</v>
      </c>
      <c r="H402" s="156">
        <v>20939.59</v>
      </c>
      <c r="I402" s="156">
        <v>647.98</v>
      </c>
      <c r="J402" s="156">
        <v>0</v>
      </c>
      <c r="K402" s="131">
        <f t="shared" si="71"/>
        <v>21587.57</v>
      </c>
      <c r="L402" s="134">
        <v>0.1792</v>
      </c>
    </row>
    <row r="403" spans="3:12">
      <c r="C403" s="161">
        <f t="shared" si="69"/>
        <v>2020</v>
      </c>
      <c r="D403" s="35" t="s">
        <v>265</v>
      </c>
      <c r="E403" s="227">
        <v>44136</v>
      </c>
      <c r="F403" s="156">
        <v>345338.46</v>
      </c>
      <c r="G403" s="131">
        <f t="shared" si="70"/>
        <v>61884.652032000005</v>
      </c>
      <c r="H403" s="156">
        <v>2241.16</v>
      </c>
      <c r="I403" s="156">
        <v>2510.25</v>
      </c>
      <c r="J403" s="156">
        <v>0</v>
      </c>
      <c r="K403" s="131">
        <f t="shared" si="71"/>
        <v>4751.41</v>
      </c>
      <c r="L403" s="134">
        <v>0.1792</v>
      </c>
    </row>
    <row r="404" spans="3:12">
      <c r="C404" s="161">
        <f t="shared" si="69"/>
        <v>2020</v>
      </c>
      <c r="D404" s="35" t="s">
        <v>265</v>
      </c>
      <c r="E404" s="227">
        <v>44166</v>
      </c>
      <c r="F404" s="156">
        <v>364842.4</v>
      </c>
      <c r="G404" s="131">
        <f t="shared" si="70"/>
        <v>65379.758080000007</v>
      </c>
      <c r="H404" s="156">
        <v>10389.469999999999</v>
      </c>
      <c r="I404" s="156">
        <v>1829.44</v>
      </c>
      <c r="J404" s="156">
        <v>0</v>
      </c>
      <c r="K404" s="131">
        <f t="shared" si="71"/>
        <v>12218.91</v>
      </c>
      <c r="L404" s="134">
        <v>0.1792</v>
      </c>
    </row>
    <row r="405" spans="3:12">
      <c r="C405" s="161">
        <f t="shared" si="69"/>
        <v>2021</v>
      </c>
      <c r="D405" s="35" t="s">
        <v>265</v>
      </c>
      <c r="E405" s="227">
        <v>44197</v>
      </c>
      <c r="F405" s="156">
        <v>351601.58</v>
      </c>
      <c r="G405" s="131">
        <f t="shared" si="70"/>
        <v>63007.003135999999</v>
      </c>
      <c r="H405" s="156">
        <v>678</v>
      </c>
      <c r="I405" s="156">
        <v>0</v>
      </c>
      <c r="J405" s="156">
        <v>0</v>
      </c>
      <c r="K405" s="131">
        <f t="shared" si="71"/>
        <v>678</v>
      </c>
      <c r="L405" s="134">
        <v>0.1792</v>
      </c>
    </row>
    <row r="406" spans="3:12">
      <c r="C406" s="161">
        <f t="shared" si="69"/>
        <v>2021</v>
      </c>
      <c r="D406" s="35" t="s">
        <v>265</v>
      </c>
      <c r="E406" s="227">
        <v>44229</v>
      </c>
      <c r="F406" s="156">
        <v>333950.61</v>
      </c>
      <c r="G406" s="131">
        <f t="shared" si="70"/>
        <v>59843.949311999997</v>
      </c>
      <c r="H406" s="156">
        <v>8447.31</v>
      </c>
      <c r="I406" s="156">
        <v>1463.11</v>
      </c>
      <c r="J406" s="156">
        <v>0</v>
      </c>
      <c r="K406" s="131">
        <f t="shared" si="71"/>
        <v>9910.42</v>
      </c>
      <c r="L406" s="134">
        <v>0.1792</v>
      </c>
    </row>
    <row r="407" spans="3:12">
      <c r="C407" s="161">
        <f t="shared" si="69"/>
        <v>2021</v>
      </c>
      <c r="D407" s="35" t="s">
        <v>265</v>
      </c>
      <c r="E407" s="227">
        <v>44258</v>
      </c>
      <c r="F407" s="156">
        <v>326207.64</v>
      </c>
      <c r="G407" s="131">
        <f t="shared" si="70"/>
        <v>58456.409088</v>
      </c>
      <c r="H407" s="156">
        <v>7050.31</v>
      </c>
      <c r="I407" s="156">
        <v>0</v>
      </c>
      <c r="J407" s="156">
        <v>0</v>
      </c>
      <c r="K407" s="131">
        <f t="shared" si="71"/>
        <v>7050.31</v>
      </c>
      <c r="L407" s="134">
        <v>0.1792</v>
      </c>
    </row>
    <row r="408" spans="3:12">
      <c r="C408" s="161">
        <f t="shared" si="69"/>
        <v>2021</v>
      </c>
      <c r="D408" s="35" t="s">
        <v>265</v>
      </c>
      <c r="E408" s="227">
        <v>44290</v>
      </c>
      <c r="F408" s="156">
        <v>380740.74</v>
      </c>
      <c r="G408" s="131">
        <f t="shared" si="70"/>
        <v>68228.740607999993</v>
      </c>
      <c r="H408" s="156">
        <v>447.86</v>
      </c>
      <c r="I408" s="156">
        <v>619.65</v>
      </c>
      <c r="J408" s="156">
        <v>0</v>
      </c>
      <c r="K408" s="131">
        <f t="shared" si="71"/>
        <v>1067.51</v>
      </c>
      <c r="L408" s="134">
        <v>0.1792</v>
      </c>
    </row>
    <row r="409" spans="3:12">
      <c r="C409" s="161">
        <f t="shared" si="69"/>
        <v>2021</v>
      </c>
      <c r="D409" s="35" t="s">
        <v>265</v>
      </c>
      <c r="E409" s="227">
        <v>44321</v>
      </c>
      <c r="F409" s="156">
        <v>343399.52</v>
      </c>
      <c r="G409" s="131">
        <f t="shared" si="70"/>
        <v>61537.193984000005</v>
      </c>
      <c r="H409" s="156">
        <v>4037.33</v>
      </c>
      <c r="I409" s="156">
        <v>0</v>
      </c>
      <c r="J409" s="156">
        <v>2080</v>
      </c>
      <c r="K409" s="131">
        <f t="shared" si="71"/>
        <v>6117.33</v>
      </c>
      <c r="L409" s="134">
        <v>0.1792</v>
      </c>
    </row>
    <row r="410" spans="3:12">
      <c r="C410" s="161">
        <f t="shared" si="69"/>
        <v>2021</v>
      </c>
      <c r="D410" s="35" t="s">
        <v>265</v>
      </c>
      <c r="E410" s="227">
        <v>44353</v>
      </c>
      <c r="F410" s="156">
        <v>333870.38</v>
      </c>
      <c r="G410" s="131">
        <f t="shared" si="70"/>
        <v>59829.572096000004</v>
      </c>
      <c r="H410" s="156">
        <v>18889.830000000002</v>
      </c>
      <c r="I410" s="156">
        <v>0</v>
      </c>
      <c r="J410" s="156">
        <v>0</v>
      </c>
      <c r="K410" s="131">
        <f t="shared" si="71"/>
        <v>18889.830000000002</v>
      </c>
      <c r="L410" s="134">
        <v>0.1792</v>
      </c>
    </row>
    <row r="411" spans="3:12">
      <c r="C411" s="161">
        <f t="shared" si="69"/>
        <v>2015</v>
      </c>
      <c r="D411" s="35" t="s">
        <v>266</v>
      </c>
      <c r="E411" s="227">
        <v>42309</v>
      </c>
      <c r="F411" s="156">
        <v>135934.79</v>
      </c>
      <c r="G411" s="131">
        <f t="shared" si="70"/>
        <v>24359.514368</v>
      </c>
      <c r="H411" s="156">
        <v>6500.98</v>
      </c>
      <c r="I411" s="156">
        <v>0</v>
      </c>
      <c r="J411" s="156">
        <v>0</v>
      </c>
      <c r="K411" s="131">
        <f t="shared" si="71"/>
        <v>6500.98</v>
      </c>
      <c r="L411" s="134">
        <v>0.1792</v>
      </c>
    </row>
    <row r="412" spans="3:12">
      <c r="C412" s="161">
        <f t="shared" si="69"/>
        <v>2015</v>
      </c>
      <c r="D412" s="35" t="s">
        <v>266</v>
      </c>
      <c r="E412" s="227">
        <v>42339</v>
      </c>
      <c r="F412" s="156">
        <v>125715.99</v>
      </c>
      <c r="G412" s="131">
        <f t="shared" si="70"/>
        <v>22528.305408</v>
      </c>
      <c r="H412" s="156">
        <v>1168.4100000000001</v>
      </c>
      <c r="I412" s="156">
        <v>0</v>
      </c>
      <c r="J412" s="156">
        <v>0</v>
      </c>
      <c r="K412" s="131">
        <f t="shared" si="71"/>
        <v>1168.4100000000001</v>
      </c>
      <c r="L412" s="134">
        <v>0.1792</v>
      </c>
    </row>
    <row r="413" spans="3:12">
      <c r="C413" s="161">
        <f t="shared" si="69"/>
        <v>2016</v>
      </c>
      <c r="D413" s="35" t="s">
        <v>266</v>
      </c>
      <c r="E413" s="227">
        <v>42370</v>
      </c>
      <c r="F413" s="156">
        <v>136307.10999999999</v>
      </c>
      <c r="G413" s="131">
        <f t="shared" si="70"/>
        <v>24426.234111999998</v>
      </c>
      <c r="H413" s="156">
        <v>12496.59</v>
      </c>
      <c r="I413" s="156">
        <v>0</v>
      </c>
      <c r="J413" s="156">
        <v>0</v>
      </c>
      <c r="K413" s="131">
        <f t="shared" si="71"/>
        <v>12496.59</v>
      </c>
      <c r="L413" s="134">
        <v>0.1792</v>
      </c>
    </row>
    <row r="414" spans="3:12">
      <c r="C414" s="161">
        <f t="shared" si="69"/>
        <v>2016</v>
      </c>
      <c r="D414" s="35" t="s">
        <v>266</v>
      </c>
      <c r="E414" s="227">
        <v>42401</v>
      </c>
      <c r="F414" s="156">
        <v>131780.63</v>
      </c>
      <c r="G414" s="131">
        <f t="shared" si="70"/>
        <v>23615.088896000001</v>
      </c>
      <c r="H414" s="156">
        <v>1184.19</v>
      </c>
      <c r="I414" s="156">
        <v>0</v>
      </c>
      <c r="J414" s="156">
        <v>0</v>
      </c>
      <c r="K414" s="131">
        <f t="shared" si="71"/>
        <v>1184.19</v>
      </c>
      <c r="L414" s="134">
        <v>0.1792</v>
      </c>
    </row>
    <row r="415" spans="3:12">
      <c r="C415" s="161">
        <f t="shared" si="69"/>
        <v>2016</v>
      </c>
      <c r="D415" s="35" t="s">
        <v>266</v>
      </c>
      <c r="E415" s="227">
        <v>42430</v>
      </c>
      <c r="F415" s="156">
        <v>134514.5</v>
      </c>
      <c r="G415" s="131">
        <f t="shared" si="70"/>
        <v>24104.9984</v>
      </c>
      <c r="H415" s="156">
        <v>1167.52</v>
      </c>
      <c r="I415" s="156">
        <v>0</v>
      </c>
      <c r="J415" s="156">
        <v>0</v>
      </c>
      <c r="K415" s="131">
        <f t="shared" si="71"/>
        <v>1167.52</v>
      </c>
      <c r="L415" s="134">
        <v>0.1792</v>
      </c>
    </row>
    <row r="416" spans="3:12">
      <c r="C416" s="161">
        <f t="shared" si="69"/>
        <v>2016</v>
      </c>
      <c r="D416" s="35" t="s">
        <v>266</v>
      </c>
      <c r="E416" s="227">
        <v>42461</v>
      </c>
      <c r="F416" s="156">
        <v>137456.98000000001</v>
      </c>
      <c r="G416" s="131">
        <f t="shared" si="70"/>
        <v>24632.290816000001</v>
      </c>
      <c r="H416" s="156">
        <v>1000.59</v>
      </c>
      <c r="I416" s="156">
        <v>0</v>
      </c>
      <c r="J416" s="156">
        <v>0</v>
      </c>
      <c r="K416" s="131">
        <f t="shared" si="71"/>
        <v>1000.59</v>
      </c>
      <c r="L416" s="134">
        <v>0.1792</v>
      </c>
    </row>
    <row r="417" spans="3:12">
      <c r="C417" s="161">
        <f t="shared" si="69"/>
        <v>2016</v>
      </c>
      <c r="D417" s="35" t="s">
        <v>266</v>
      </c>
      <c r="E417" s="227">
        <v>42491</v>
      </c>
      <c r="F417" s="156">
        <v>128366.16</v>
      </c>
      <c r="G417" s="131">
        <f t="shared" si="70"/>
        <v>23003.215872000001</v>
      </c>
      <c r="H417" s="156">
        <v>546.29</v>
      </c>
      <c r="I417" s="156">
        <v>0</v>
      </c>
      <c r="J417" s="156">
        <v>0</v>
      </c>
      <c r="K417" s="131">
        <f t="shared" si="71"/>
        <v>546.29</v>
      </c>
      <c r="L417" s="134">
        <v>0.1792</v>
      </c>
    </row>
    <row r="418" spans="3:12">
      <c r="C418" s="161">
        <f t="shared" si="69"/>
        <v>2016</v>
      </c>
      <c r="D418" s="35" t="s">
        <v>266</v>
      </c>
      <c r="E418" s="227">
        <v>42522</v>
      </c>
      <c r="F418" s="156">
        <v>126459.22</v>
      </c>
      <c r="G418" s="131">
        <f t="shared" si="70"/>
        <v>22661.492224000001</v>
      </c>
      <c r="H418" s="156">
        <v>500.46</v>
      </c>
      <c r="I418" s="156">
        <v>0</v>
      </c>
      <c r="J418" s="156">
        <v>0</v>
      </c>
      <c r="K418" s="131">
        <f t="shared" si="71"/>
        <v>500.46</v>
      </c>
      <c r="L418" s="134">
        <v>0.1792</v>
      </c>
    </row>
    <row r="419" spans="3:12">
      <c r="C419" s="161">
        <f t="shared" si="69"/>
        <v>2016</v>
      </c>
      <c r="D419" s="35" t="s">
        <v>266</v>
      </c>
      <c r="E419" s="227">
        <v>42552</v>
      </c>
      <c r="F419" s="156">
        <v>139346.39000000001</v>
      </c>
      <c r="G419" s="131">
        <f t="shared" si="70"/>
        <v>24970.873088000004</v>
      </c>
      <c r="H419" s="156">
        <v>419.41</v>
      </c>
      <c r="I419" s="156">
        <v>0</v>
      </c>
      <c r="J419" s="156">
        <v>0</v>
      </c>
      <c r="K419" s="131">
        <f t="shared" si="71"/>
        <v>419.41</v>
      </c>
      <c r="L419" s="134">
        <v>0.1792</v>
      </c>
    </row>
    <row r="420" spans="3:12">
      <c r="C420" s="161">
        <f t="shared" si="69"/>
        <v>2016</v>
      </c>
      <c r="D420" s="35" t="s">
        <v>266</v>
      </c>
      <c r="E420" s="227">
        <v>42583</v>
      </c>
      <c r="F420" s="156">
        <v>138346.95000000001</v>
      </c>
      <c r="G420" s="131">
        <f t="shared" si="70"/>
        <v>24791.773440000001</v>
      </c>
      <c r="H420" s="156">
        <v>817.6</v>
      </c>
      <c r="I420" s="156">
        <v>167.73</v>
      </c>
      <c r="J420" s="156">
        <v>3980</v>
      </c>
      <c r="K420" s="131">
        <f t="shared" si="71"/>
        <v>4965.33</v>
      </c>
      <c r="L420" s="134">
        <v>0.1792</v>
      </c>
    </row>
    <row r="421" spans="3:12">
      <c r="C421" s="161">
        <f t="shared" si="69"/>
        <v>2016</v>
      </c>
      <c r="D421" s="35" t="s">
        <v>266</v>
      </c>
      <c r="E421" s="227">
        <v>42614</v>
      </c>
      <c r="F421" s="156">
        <v>141558.23000000001</v>
      </c>
      <c r="G421" s="131">
        <f t="shared" si="70"/>
        <v>25367.234816</v>
      </c>
      <c r="H421" s="156">
        <v>5952.79</v>
      </c>
      <c r="I421" s="156">
        <v>75.569999999999993</v>
      </c>
      <c r="J421" s="156">
        <v>0</v>
      </c>
      <c r="K421" s="131">
        <f t="shared" si="71"/>
        <v>6028.36</v>
      </c>
      <c r="L421" s="134">
        <v>0.1792</v>
      </c>
    </row>
    <row r="422" spans="3:12">
      <c r="C422" s="161">
        <f t="shared" si="69"/>
        <v>2016</v>
      </c>
      <c r="D422" s="35" t="s">
        <v>266</v>
      </c>
      <c r="E422" s="227">
        <v>42644</v>
      </c>
      <c r="F422" s="156">
        <v>141178.01</v>
      </c>
      <c r="G422" s="131">
        <f t="shared" si="70"/>
        <v>25299.099392</v>
      </c>
      <c r="H422" s="156">
        <v>486.04</v>
      </c>
      <c r="I422" s="156">
        <v>0</v>
      </c>
      <c r="J422" s="156">
        <v>3149.16</v>
      </c>
      <c r="K422" s="131">
        <f t="shared" si="71"/>
        <v>3635.2</v>
      </c>
      <c r="L422" s="134">
        <v>0.1792</v>
      </c>
    </row>
    <row r="423" spans="3:12">
      <c r="C423" s="161">
        <f t="shared" si="69"/>
        <v>2016</v>
      </c>
      <c r="D423" s="35" t="s">
        <v>266</v>
      </c>
      <c r="E423" s="227">
        <v>42675</v>
      </c>
      <c r="F423" s="156">
        <v>166593.56</v>
      </c>
      <c r="G423" s="131">
        <f t="shared" si="70"/>
        <v>29853.565952000001</v>
      </c>
      <c r="H423" s="156">
        <v>7240.61</v>
      </c>
      <c r="I423" s="156">
        <v>77.27</v>
      </c>
      <c r="J423" s="156">
        <v>0</v>
      </c>
      <c r="K423" s="131">
        <f t="shared" si="71"/>
        <v>7317.88</v>
      </c>
      <c r="L423" s="134">
        <v>0.1792</v>
      </c>
    </row>
    <row r="424" spans="3:12">
      <c r="C424" s="161">
        <f t="shared" si="69"/>
        <v>2016</v>
      </c>
      <c r="D424" s="35" t="s">
        <v>266</v>
      </c>
      <c r="E424" s="227">
        <v>42705</v>
      </c>
      <c r="F424" s="156">
        <v>154631.04999999999</v>
      </c>
      <c r="G424" s="131">
        <f t="shared" si="70"/>
        <v>27709.884159999998</v>
      </c>
      <c r="H424" s="156">
        <v>1137.1300000000001</v>
      </c>
      <c r="I424" s="156">
        <v>0</v>
      </c>
      <c r="J424" s="156">
        <v>0</v>
      </c>
      <c r="K424" s="131">
        <f t="shared" si="71"/>
        <v>1137.1300000000001</v>
      </c>
      <c r="L424" s="134">
        <v>0.1792</v>
      </c>
    </row>
    <row r="425" spans="3:12">
      <c r="C425" s="161">
        <f t="shared" si="69"/>
        <v>2017</v>
      </c>
      <c r="D425" s="35" t="s">
        <v>266</v>
      </c>
      <c r="E425" s="227">
        <v>42736</v>
      </c>
      <c r="F425" s="156">
        <v>163855.89000000001</v>
      </c>
      <c r="G425" s="131">
        <f t="shared" si="70"/>
        <v>29362.975488000004</v>
      </c>
      <c r="H425" s="156">
        <v>458.01</v>
      </c>
      <c r="I425" s="156">
        <v>0</v>
      </c>
      <c r="J425" s="156">
        <v>2037</v>
      </c>
      <c r="K425" s="131">
        <f t="shared" si="71"/>
        <v>2495.0100000000002</v>
      </c>
      <c r="L425" s="134">
        <v>0.1792</v>
      </c>
    </row>
    <row r="426" spans="3:12">
      <c r="C426" s="161">
        <f t="shared" si="69"/>
        <v>2017</v>
      </c>
      <c r="D426" s="35" t="s">
        <v>266</v>
      </c>
      <c r="E426" s="227">
        <v>42767</v>
      </c>
      <c r="F426" s="156">
        <v>150796.76</v>
      </c>
      <c r="G426" s="131">
        <f t="shared" si="70"/>
        <v>27022.779392</v>
      </c>
      <c r="H426" s="156">
        <v>0</v>
      </c>
      <c r="I426" s="156">
        <v>0</v>
      </c>
      <c r="J426" s="156">
        <v>0</v>
      </c>
      <c r="K426" s="131">
        <f t="shared" si="71"/>
        <v>0</v>
      </c>
      <c r="L426" s="134">
        <v>0.1792</v>
      </c>
    </row>
    <row r="427" spans="3:12">
      <c r="C427" s="161">
        <f t="shared" si="69"/>
        <v>2017</v>
      </c>
      <c r="D427" s="35" t="s">
        <v>266</v>
      </c>
      <c r="E427" s="227">
        <v>42795</v>
      </c>
      <c r="F427" s="156">
        <v>152828.95000000001</v>
      </c>
      <c r="G427" s="131">
        <f t="shared" si="70"/>
        <v>27386.947840000001</v>
      </c>
      <c r="H427" s="156">
        <v>1170.47</v>
      </c>
      <c r="I427" s="156">
        <v>0</v>
      </c>
      <c r="J427" s="156">
        <v>1240.2</v>
      </c>
      <c r="K427" s="131">
        <f t="shared" si="71"/>
        <v>2410.67</v>
      </c>
      <c r="L427" s="134">
        <v>0.1792</v>
      </c>
    </row>
    <row r="428" spans="3:12">
      <c r="C428" s="161">
        <f t="shared" si="69"/>
        <v>2017</v>
      </c>
      <c r="D428" s="35" t="s">
        <v>266</v>
      </c>
      <c r="E428" s="227">
        <v>42826</v>
      </c>
      <c r="F428" s="156">
        <v>147771.35999999999</v>
      </c>
      <c r="G428" s="131">
        <f t="shared" si="70"/>
        <v>26480.627711999998</v>
      </c>
      <c r="H428" s="156">
        <v>505.03</v>
      </c>
      <c r="I428" s="156">
        <v>0</v>
      </c>
      <c r="J428" s="156">
        <v>0</v>
      </c>
      <c r="K428" s="131">
        <f t="shared" si="71"/>
        <v>505.03</v>
      </c>
      <c r="L428" s="134">
        <v>0.1792</v>
      </c>
    </row>
    <row r="429" spans="3:12">
      <c r="C429" s="161">
        <f t="shared" si="69"/>
        <v>2017</v>
      </c>
      <c r="D429" s="35" t="s">
        <v>266</v>
      </c>
      <c r="E429" s="227">
        <v>42856</v>
      </c>
      <c r="F429" s="156">
        <v>138828.75</v>
      </c>
      <c r="G429" s="131">
        <f t="shared" si="70"/>
        <v>24878.112000000001</v>
      </c>
      <c r="H429" s="156">
        <v>7130.47</v>
      </c>
      <c r="I429" s="156">
        <v>0</v>
      </c>
      <c r="J429" s="156">
        <v>0</v>
      </c>
      <c r="K429" s="131">
        <f t="shared" si="71"/>
        <v>7130.47</v>
      </c>
      <c r="L429" s="134">
        <v>0.1792</v>
      </c>
    </row>
    <row r="430" spans="3:12">
      <c r="C430" s="161">
        <f t="shared" si="69"/>
        <v>2017</v>
      </c>
      <c r="D430" s="35" t="s">
        <v>266</v>
      </c>
      <c r="E430" s="227">
        <v>42887</v>
      </c>
      <c r="F430" s="156">
        <v>140908.54999999999</v>
      </c>
      <c r="G430" s="131">
        <f t="shared" si="70"/>
        <v>25250.812159999998</v>
      </c>
      <c r="H430" s="156">
        <v>2879.03</v>
      </c>
      <c r="I430" s="156">
        <v>0</v>
      </c>
      <c r="J430" s="156">
        <v>0</v>
      </c>
      <c r="K430" s="131">
        <f t="shared" si="71"/>
        <v>2879.03</v>
      </c>
      <c r="L430" s="134">
        <v>0.1792</v>
      </c>
    </row>
    <row r="431" spans="3:12">
      <c r="C431" s="161">
        <f t="shared" si="69"/>
        <v>2017</v>
      </c>
      <c r="D431" s="35" t="s">
        <v>266</v>
      </c>
      <c r="E431" s="227">
        <v>42917</v>
      </c>
      <c r="F431" s="156">
        <v>146647.34</v>
      </c>
      <c r="G431" s="131">
        <f t="shared" si="70"/>
        <v>26279.203328</v>
      </c>
      <c r="H431" s="156">
        <v>1721.28</v>
      </c>
      <c r="I431" s="156">
        <v>0</v>
      </c>
      <c r="J431" s="156">
        <v>0</v>
      </c>
      <c r="K431" s="131">
        <f t="shared" si="71"/>
        <v>1721.28</v>
      </c>
      <c r="L431" s="134">
        <v>0.1792</v>
      </c>
    </row>
    <row r="432" spans="3:12">
      <c r="C432" s="161">
        <f t="shared" si="69"/>
        <v>2017</v>
      </c>
      <c r="D432" s="35" t="s">
        <v>266</v>
      </c>
      <c r="E432" s="227">
        <v>42948</v>
      </c>
      <c r="F432" s="156">
        <v>161132.34</v>
      </c>
      <c r="G432" s="131">
        <f t="shared" si="70"/>
        <v>28874.915327999999</v>
      </c>
      <c r="H432" s="156">
        <v>825.01</v>
      </c>
      <c r="I432" s="156">
        <v>0</v>
      </c>
      <c r="J432" s="156">
        <v>0</v>
      </c>
      <c r="K432" s="131">
        <f t="shared" si="71"/>
        <v>825.01</v>
      </c>
      <c r="L432" s="134">
        <v>0.1792</v>
      </c>
    </row>
    <row r="433" spans="3:12">
      <c r="C433" s="161">
        <f t="shared" si="69"/>
        <v>2017</v>
      </c>
      <c r="D433" s="35" t="s">
        <v>266</v>
      </c>
      <c r="E433" s="227">
        <v>42979</v>
      </c>
      <c r="F433" s="156">
        <v>169458.3</v>
      </c>
      <c r="G433" s="131">
        <f t="shared" si="70"/>
        <v>30366.927359999998</v>
      </c>
      <c r="H433" s="156">
        <v>404.66</v>
      </c>
      <c r="I433" s="156">
        <v>73.540000000000006</v>
      </c>
      <c r="J433" s="156">
        <v>0</v>
      </c>
      <c r="K433" s="131">
        <f t="shared" si="71"/>
        <v>478.20000000000005</v>
      </c>
      <c r="L433" s="134">
        <v>0.1792</v>
      </c>
    </row>
    <row r="434" spans="3:12">
      <c r="C434" s="161">
        <f t="shared" si="69"/>
        <v>2017</v>
      </c>
      <c r="D434" s="35" t="s">
        <v>266</v>
      </c>
      <c r="E434" s="227">
        <v>43009</v>
      </c>
      <c r="F434" s="156">
        <v>170950.98</v>
      </c>
      <c r="G434" s="131">
        <f t="shared" si="70"/>
        <v>30634.415616000002</v>
      </c>
      <c r="H434" s="156">
        <v>2097.9299999999998</v>
      </c>
      <c r="I434" s="156">
        <v>102396.73</v>
      </c>
      <c r="J434" s="156">
        <v>0</v>
      </c>
      <c r="K434" s="131">
        <f t="shared" si="71"/>
        <v>104494.65999999999</v>
      </c>
      <c r="L434" s="134">
        <v>0.1792</v>
      </c>
    </row>
    <row r="435" spans="3:12">
      <c r="C435" s="161">
        <f t="shared" si="69"/>
        <v>2017</v>
      </c>
      <c r="D435" s="35" t="s">
        <v>266</v>
      </c>
      <c r="E435" s="227">
        <v>43040</v>
      </c>
      <c r="F435" s="156">
        <v>166402.04</v>
      </c>
      <c r="G435" s="131">
        <f t="shared" si="70"/>
        <v>29819.245568000002</v>
      </c>
      <c r="H435" s="156">
        <v>398.66</v>
      </c>
      <c r="I435" s="156">
        <v>0</v>
      </c>
      <c r="J435" s="156">
        <v>0</v>
      </c>
      <c r="K435" s="131">
        <f t="shared" si="71"/>
        <v>398.66</v>
      </c>
      <c r="L435" s="134">
        <v>0.1792</v>
      </c>
    </row>
    <row r="436" spans="3:12">
      <c r="C436" s="161">
        <f t="shared" si="69"/>
        <v>2017</v>
      </c>
      <c r="D436" s="35" t="s">
        <v>266</v>
      </c>
      <c r="E436" s="227">
        <v>43070</v>
      </c>
      <c r="F436" s="156">
        <v>166160.01999999999</v>
      </c>
      <c r="G436" s="131">
        <f t="shared" si="70"/>
        <v>29775.875583999998</v>
      </c>
      <c r="H436" s="156">
        <v>383.83</v>
      </c>
      <c r="I436" s="156">
        <v>0</v>
      </c>
      <c r="J436" s="156">
        <v>0</v>
      </c>
      <c r="K436" s="131">
        <f t="shared" si="71"/>
        <v>383.83</v>
      </c>
      <c r="L436" s="134">
        <v>0.1792</v>
      </c>
    </row>
    <row r="437" spans="3:12">
      <c r="C437" s="161">
        <f t="shared" si="69"/>
        <v>2018</v>
      </c>
      <c r="D437" s="35" t="s">
        <v>266</v>
      </c>
      <c r="E437" s="227">
        <v>43101</v>
      </c>
      <c r="F437" s="156">
        <v>166071.82999999999</v>
      </c>
      <c r="G437" s="131">
        <f t="shared" si="70"/>
        <v>29760.071935999997</v>
      </c>
      <c r="H437" s="156">
        <v>421.14</v>
      </c>
      <c r="I437" s="156">
        <v>0</v>
      </c>
      <c r="J437" s="156">
        <v>0</v>
      </c>
      <c r="K437" s="131">
        <f t="shared" si="71"/>
        <v>421.14</v>
      </c>
      <c r="L437" s="134">
        <v>0.1792</v>
      </c>
    </row>
    <row r="438" spans="3:12">
      <c r="C438" s="161">
        <f t="shared" si="69"/>
        <v>2018</v>
      </c>
      <c r="D438" s="35" t="s">
        <v>266</v>
      </c>
      <c r="E438" s="227">
        <v>43132</v>
      </c>
      <c r="F438" s="156">
        <v>183149.43</v>
      </c>
      <c r="G438" s="131">
        <f t="shared" si="70"/>
        <v>32820.377855999999</v>
      </c>
      <c r="H438" s="156">
        <v>157.82</v>
      </c>
      <c r="I438" s="156">
        <v>0</v>
      </c>
      <c r="J438" s="156">
        <v>0</v>
      </c>
      <c r="K438" s="131">
        <f t="shared" si="71"/>
        <v>157.82</v>
      </c>
      <c r="L438" s="134">
        <v>0.1792</v>
      </c>
    </row>
    <row r="439" spans="3:12">
      <c r="C439" s="161">
        <f t="shared" si="69"/>
        <v>2018</v>
      </c>
      <c r="D439" s="35" t="s">
        <v>266</v>
      </c>
      <c r="E439" s="227">
        <v>43160</v>
      </c>
      <c r="F439" s="156">
        <v>162460.79999999999</v>
      </c>
      <c r="G439" s="131">
        <f t="shared" si="70"/>
        <v>29112.975359999997</v>
      </c>
      <c r="H439" s="156">
        <v>731.08</v>
      </c>
      <c r="I439" s="156">
        <v>73.59</v>
      </c>
      <c r="J439" s="156">
        <v>0</v>
      </c>
      <c r="K439" s="131">
        <f t="shared" si="71"/>
        <v>804.67000000000007</v>
      </c>
      <c r="L439" s="134">
        <v>0.1792</v>
      </c>
    </row>
    <row r="440" spans="3:12">
      <c r="C440" s="161">
        <f t="shared" si="69"/>
        <v>2018</v>
      </c>
      <c r="D440" s="35" t="s">
        <v>266</v>
      </c>
      <c r="E440" s="227">
        <v>43191</v>
      </c>
      <c r="F440" s="156">
        <v>166601.59</v>
      </c>
      <c r="G440" s="131">
        <f t="shared" si="70"/>
        <v>29855.004927999998</v>
      </c>
      <c r="H440" s="156">
        <v>716.45</v>
      </c>
      <c r="I440" s="156">
        <v>31.3</v>
      </c>
      <c r="J440" s="156">
        <v>0</v>
      </c>
      <c r="K440" s="131">
        <f t="shared" si="71"/>
        <v>747.75</v>
      </c>
      <c r="L440" s="134">
        <v>0.1792</v>
      </c>
    </row>
    <row r="441" spans="3:12">
      <c r="C441" s="161">
        <f t="shared" si="69"/>
        <v>2018</v>
      </c>
      <c r="D441" s="35" t="s">
        <v>266</v>
      </c>
      <c r="E441" s="227">
        <v>43221</v>
      </c>
      <c r="F441" s="156">
        <v>172135.54</v>
      </c>
      <c r="G441" s="131">
        <f t="shared" si="70"/>
        <v>30846.688768</v>
      </c>
      <c r="H441" s="156">
        <v>261.49</v>
      </c>
      <c r="I441" s="156">
        <v>0</v>
      </c>
      <c r="J441" s="156">
        <v>0</v>
      </c>
      <c r="K441" s="131">
        <f t="shared" si="71"/>
        <v>261.49</v>
      </c>
      <c r="L441" s="134">
        <v>0.1792</v>
      </c>
    </row>
    <row r="442" spans="3:12">
      <c r="C442" s="161">
        <f t="shared" si="69"/>
        <v>2018</v>
      </c>
      <c r="D442" s="35" t="s">
        <v>266</v>
      </c>
      <c r="E442" s="227">
        <v>43252</v>
      </c>
      <c r="F442" s="156">
        <v>157626.04999999999</v>
      </c>
      <c r="G442" s="131">
        <f t="shared" si="70"/>
        <v>28246.588159999999</v>
      </c>
      <c r="H442" s="156">
        <v>467.16</v>
      </c>
      <c r="I442" s="156">
        <v>45.84</v>
      </c>
      <c r="J442" s="156">
        <v>1100</v>
      </c>
      <c r="K442" s="131">
        <f t="shared" si="71"/>
        <v>1613</v>
      </c>
      <c r="L442" s="134">
        <v>0.1792</v>
      </c>
    </row>
    <row r="443" spans="3:12">
      <c r="C443" s="161">
        <f t="shared" si="69"/>
        <v>2018</v>
      </c>
      <c r="D443" s="35" t="s">
        <v>266</v>
      </c>
      <c r="E443" s="227">
        <v>43282</v>
      </c>
      <c r="F443" s="156">
        <v>158658.32</v>
      </c>
      <c r="G443" s="131">
        <f t="shared" si="70"/>
        <v>28431.570943999999</v>
      </c>
      <c r="H443" s="156">
        <v>1236.52</v>
      </c>
      <c r="I443" s="156">
        <v>0</v>
      </c>
      <c r="J443" s="156">
        <v>2639</v>
      </c>
      <c r="K443" s="131">
        <f t="shared" si="71"/>
        <v>3875.52</v>
      </c>
      <c r="L443" s="134">
        <v>0.1792</v>
      </c>
    </row>
    <row r="444" spans="3:12">
      <c r="C444" s="161">
        <f t="shared" si="69"/>
        <v>2018</v>
      </c>
      <c r="D444" s="35" t="s">
        <v>266</v>
      </c>
      <c r="E444" s="227">
        <v>43313</v>
      </c>
      <c r="F444" s="156">
        <v>162457.25</v>
      </c>
      <c r="G444" s="131">
        <f t="shared" si="70"/>
        <v>29112.339199999999</v>
      </c>
      <c r="H444" s="156">
        <v>724.44</v>
      </c>
      <c r="I444" s="156">
        <v>85.13</v>
      </c>
      <c r="J444" s="156">
        <v>0</v>
      </c>
      <c r="K444" s="131">
        <f t="shared" si="71"/>
        <v>809.57</v>
      </c>
      <c r="L444" s="134">
        <v>0.1792</v>
      </c>
    </row>
    <row r="445" spans="3:12">
      <c r="C445" s="161">
        <f t="shared" si="69"/>
        <v>2018</v>
      </c>
      <c r="D445" s="35" t="s">
        <v>266</v>
      </c>
      <c r="E445" s="227">
        <v>43344</v>
      </c>
      <c r="F445" s="156">
        <v>164704.72</v>
      </c>
      <c r="G445" s="131">
        <f t="shared" si="70"/>
        <v>29515.085824000002</v>
      </c>
      <c r="H445" s="156">
        <v>1593.15</v>
      </c>
      <c r="I445" s="156">
        <v>7.61</v>
      </c>
      <c r="J445" s="156">
        <v>0</v>
      </c>
      <c r="K445" s="131">
        <f t="shared" si="71"/>
        <v>1600.76</v>
      </c>
      <c r="L445" s="134">
        <v>0.1792</v>
      </c>
    </row>
    <row r="446" spans="3:12">
      <c r="C446" s="161">
        <f t="shared" si="69"/>
        <v>2018</v>
      </c>
      <c r="D446" s="35" t="s">
        <v>266</v>
      </c>
      <c r="E446" s="227">
        <v>43374</v>
      </c>
      <c r="F446" s="156">
        <v>166020.76999999999</v>
      </c>
      <c r="G446" s="131">
        <f t="shared" si="70"/>
        <v>29750.921983999997</v>
      </c>
      <c r="H446" s="156">
        <v>4390.53</v>
      </c>
      <c r="I446" s="156">
        <v>13.57</v>
      </c>
      <c r="J446" s="156">
        <v>0</v>
      </c>
      <c r="K446" s="131">
        <f t="shared" si="71"/>
        <v>4404.0999999999995</v>
      </c>
      <c r="L446" s="134">
        <v>0.1792</v>
      </c>
    </row>
    <row r="447" spans="3:12">
      <c r="C447" s="161">
        <f t="shared" si="69"/>
        <v>2018</v>
      </c>
      <c r="D447" s="35" t="s">
        <v>266</v>
      </c>
      <c r="E447" s="227">
        <v>43405</v>
      </c>
      <c r="F447" s="156">
        <v>177791.25622499999</v>
      </c>
      <c r="G447" s="131">
        <f t="shared" si="70"/>
        <v>31860.193115519996</v>
      </c>
      <c r="H447" s="156">
        <v>654.30999999999995</v>
      </c>
      <c r="I447" s="156">
        <v>51.66</v>
      </c>
      <c r="J447" s="156">
        <v>0</v>
      </c>
      <c r="K447" s="131">
        <f t="shared" si="71"/>
        <v>705.96999999999991</v>
      </c>
      <c r="L447" s="134">
        <v>0.1792</v>
      </c>
    </row>
    <row r="448" spans="3:12">
      <c r="C448" s="161">
        <f t="shared" si="69"/>
        <v>2018</v>
      </c>
      <c r="D448" s="35" t="s">
        <v>266</v>
      </c>
      <c r="E448" s="227">
        <v>43435</v>
      </c>
      <c r="F448" s="156">
        <v>180271.33</v>
      </c>
      <c r="G448" s="131">
        <f t="shared" si="70"/>
        <v>32304.622335999997</v>
      </c>
      <c r="H448" s="156">
        <v>628.16999999999996</v>
      </c>
      <c r="I448" s="156">
        <v>106.45</v>
      </c>
      <c r="J448" s="156" t="s">
        <v>267</v>
      </c>
      <c r="K448" s="131">
        <f t="shared" si="71"/>
        <v>734.62</v>
      </c>
      <c r="L448" s="134">
        <v>0.1792</v>
      </c>
    </row>
    <row r="449" spans="3:12">
      <c r="C449" s="161">
        <f t="shared" si="69"/>
        <v>2019</v>
      </c>
      <c r="D449" s="35" t="s">
        <v>266</v>
      </c>
      <c r="E449" s="227">
        <v>43466</v>
      </c>
      <c r="F449" s="156">
        <v>183358.03</v>
      </c>
      <c r="G449" s="131">
        <f t="shared" si="70"/>
        <v>32857.758975999997</v>
      </c>
      <c r="H449" s="156">
        <v>688.17</v>
      </c>
      <c r="I449" s="156">
        <v>204432.16</v>
      </c>
      <c r="J449" s="156">
        <v>0</v>
      </c>
      <c r="K449" s="131">
        <f t="shared" si="71"/>
        <v>205120.33000000002</v>
      </c>
      <c r="L449" s="134">
        <v>0.1792</v>
      </c>
    </row>
    <row r="450" spans="3:12">
      <c r="C450" s="161">
        <f t="shared" si="69"/>
        <v>2019</v>
      </c>
      <c r="D450" s="35" t="s">
        <v>266</v>
      </c>
      <c r="E450" s="227">
        <v>43497</v>
      </c>
      <c r="F450" s="156">
        <v>269485.18</v>
      </c>
      <c r="G450" s="131">
        <f t="shared" si="70"/>
        <v>48291.744255999998</v>
      </c>
      <c r="H450" s="156">
        <v>169.68</v>
      </c>
      <c r="I450" s="156">
        <v>62440.01</v>
      </c>
      <c r="J450" s="156">
        <v>0</v>
      </c>
      <c r="K450" s="131">
        <f t="shared" si="71"/>
        <v>62609.69</v>
      </c>
      <c r="L450" s="134">
        <v>0.1792</v>
      </c>
    </row>
    <row r="451" spans="3:12">
      <c r="C451" s="161">
        <f t="shared" si="69"/>
        <v>2019</v>
      </c>
      <c r="D451" s="35" t="s">
        <v>266</v>
      </c>
      <c r="E451" s="227">
        <v>43525</v>
      </c>
      <c r="F451" s="156">
        <v>236911.07</v>
      </c>
      <c r="G451" s="131">
        <f t="shared" si="70"/>
        <v>42454.463744000001</v>
      </c>
      <c r="H451" s="156">
        <v>4271</v>
      </c>
      <c r="I451" s="156">
        <v>308307.44</v>
      </c>
      <c r="J451" s="156">
        <v>0</v>
      </c>
      <c r="K451" s="131">
        <f t="shared" si="71"/>
        <v>312578.44</v>
      </c>
      <c r="L451" s="134">
        <v>0.1792</v>
      </c>
    </row>
    <row r="452" spans="3:12">
      <c r="C452" s="161">
        <f t="shared" ref="C452:C515" si="72">YEAR(E452)</f>
        <v>2019</v>
      </c>
      <c r="D452" s="35" t="s">
        <v>266</v>
      </c>
      <c r="E452" s="227">
        <v>43556</v>
      </c>
      <c r="F452" s="156">
        <v>246436.6</v>
      </c>
      <c r="G452" s="131">
        <f t="shared" ref="G452:G515" si="73">F452*L452</f>
        <v>44161.438719999998</v>
      </c>
      <c r="H452" s="156">
        <v>579</v>
      </c>
      <c r="I452" s="156">
        <v>173179.75</v>
      </c>
      <c r="J452" s="156">
        <v>0</v>
      </c>
      <c r="K452" s="131">
        <f t="shared" ref="K452:K515" si="74">SUM(H452:J452)</f>
        <v>173758.75</v>
      </c>
      <c r="L452" s="134">
        <v>0.1792</v>
      </c>
    </row>
    <row r="453" spans="3:12">
      <c r="C453" s="161">
        <f t="shared" si="72"/>
        <v>2019</v>
      </c>
      <c r="D453" s="35" t="s">
        <v>266</v>
      </c>
      <c r="E453" s="227">
        <v>43586</v>
      </c>
      <c r="F453" s="156">
        <v>237717.02</v>
      </c>
      <c r="G453" s="131">
        <f t="shared" si="73"/>
        <v>42598.889984000001</v>
      </c>
      <c r="H453" s="156">
        <v>2622.19</v>
      </c>
      <c r="I453" s="156">
        <v>382936.48</v>
      </c>
      <c r="J453" s="156">
        <v>0</v>
      </c>
      <c r="K453" s="131">
        <f t="shared" si="74"/>
        <v>385558.67</v>
      </c>
      <c r="L453" s="134">
        <v>0.1792</v>
      </c>
    </row>
    <row r="454" spans="3:12">
      <c r="C454" s="161">
        <f t="shared" si="72"/>
        <v>2019</v>
      </c>
      <c r="D454" s="35" t="s">
        <v>266</v>
      </c>
      <c r="E454" s="227">
        <v>43617</v>
      </c>
      <c r="F454" s="156">
        <v>213226.74</v>
      </c>
      <c r="G454" s="131">
        <f t="shared" si="73"/>
        <v>38210.231807999997</v>
      </c>
      <c r="H454" s="156">
        <v>13338.63</v>
      </c>
      <c r="I454" s="156">
        <v>246856.69</v>
      </c>
      <c r="J454" s="156">
        <v>0</v>
      </c>
      <c r="K454" s="131">
        <f t="shared" si="74"/>
        <v>260195.32</v>
      </c>
      <c r="L454" s="134">
        <v>0.1792</v>
      </c>
    </row>
    <row r="455" spans="3:12">
      <c r="C455" s="161">
        <f t="shared" si="72"/>
        <v>2019</v>
      </c>
      <c r="D455" s="35" t="s">
        <v>266</v>
      </c>
      <c r="E455" s="227">
        <v>43647</v>
      </c>
      <c r="F455" s="156">
        <v>216575.23</v>
      </c>
      <c r="G455" s="131">
        <f t="shared" si="73"/>
        <v>38810.281216000003</v>
      </c>
      <c r="H455" s="156">
        <v>864.99</v>
      </c>
      <c r="I455" s="156">
        <v>383697.89</v>
      </c>
      <c r="J455" s="156">
        <v>0</v>
      </c>
      <c r="K455" s="131">
        <f t="shared" si="74"/>
        <v>384562.88</v>
      </c>
      <c r="L455" s="134">
        <v>0.1792</v>
      </c>
    </row>
    <row r="456" spans="3:12">
      <c r="C456" s="161">
        <f t="shared" si="72"/>
        <v>2019</v>
      </c>
      <c r="D456" s="35" t="s">
        <v>266</v>
      </c>
      <c r="E456" s="227">
        <v>43678</v>
      </c>
      <c r="F456" s="156">
        <v>229409.6</v>
      </c>
      <c r="G456" s="131">
        <f t="shared" si="73"/>
        <v>41110.200320000004</v>
      </c>
      <c r="H456" s="156">
        <v>893.99</v>
      </c>
      <c r="I456" s="156">
        <v>639640.74</v>
      </c>
      <c r="J456" s="156">
        <v>0</v>
      </c>
      <c r="K456" s="131">
        <f t="shared" si="74"/>
        <v>640534.73</v>
      </c>
      <c r="L456" s="134">
        <v>0.1792</v>
      </c>
    </row>
    <row r="457" spans="3:12">
      <c r="C457" s="161">
        <f t="shared" si="72"/>
        <v>2019</v>
      </c>
      <c r="D457" s="35" t="s">
        <v>266</v>
      </c>
      <c r="E457" s="227">
        <v>43709</v>
      </c>
      <c r="F457" s="156">
        <v>248492.9</v>
      </c>
      <c r="G457" s="131">
        <f t="shared" si="73"/>
        <v>44529.927680000001</v>
      </c>
      <c r="H457" s="156">
        <v>4729.72</v>
      </c>
      <c r="I457" s="156">
        <v>16148.62</v>
      </c>
      <c r="J457" s="156">
        <v>0</v>
      </c>
      <c r="K457" s="131">
        <f t="shared" si="74"/>
        <v>20878.34</v>
      </c>
      <c r="L457" s="134">
        <v>0.1792</v>
      </c>
    </row>
    <row r="458" spans="3:12">
      <c r="C458" s="161">
        <f t="shared" si="72"/>
        <v>2019</v>
      </c>
      <c r="D458" s="35" t="s">
        <v>266</v>
      </c>
      <c r="E458" s="227">
        <v>43739</v>
      </c>
      <c r="F458" s="156">
        <v>194243.52</v>
      </c>
      <c r="G458" s="131">
        <f t="shared" si="73"/>
        <v>34808.438783999998</v>
      </c>
      <c r="H458" s="156">
        <v>3013.0439999999999</v>
      </c>
      <c r="I458" s="156">
        <v>337021.43</v>
      </c>
      <c r="J458" s="156">
        <v>547.42999999999995</v>
      </c>
      <c r="K458" s="131">
        <f t="shared" si="74"/>
        <v>340581.90399999998</v>
      </c>
      <c r="L458" s="134">
        <v>0.1792</v>
      </c>
    </row>
    <row r="459" spans="3:12">
      <c r="C459" s="161">
        <f t="shared" si="72"/>
        <v>2019</v>
      </c>
      <c r="D459" s="35" t="s">
        <v>266</v>
      </c>
      <c r="E459" s="227">
        <v>43770</v>
      </c>
      <c r="F459" s="156">
        <v>227643.78</v>
      </c>
      <c r="G459" s="131">
        <f t="shared" si="73"/>
        <v>40793.765375999996</v>
      </c>
      <c r="H459" s="156">
        <v>808.36</v>
      </c>
      <c r="I459" s="156">
        <v>648778.68000000005</v>
      </c>
      <c r="J459" s="156">
        <v>0</v>
      </c>
      <c r="K459" s="131">
        <f t="shared" si="74"/>
        <v>649587.04</v>
      </c>
      <c r="L459" s="134">
        <v>0.1792</v>
      </c>
    </row>
    <row r="460" spans="3:12">
      <c r="C460" s="161">
        <f t="shared" si="72"/>
        <v>2019</v>
      </c>
      <c r="D460" s="35" t="s">
        <v>266</v>
      </c>
      <c r="E460" s="227">
        <v>43800</v>
      </c>
      <c r="F460" s="156">
        <v>223424.57</v>
      </c>
      <c r="G460" s="131">
        <f t="shared" si="73"/>
        <v>40037.682944</v>
      </c>
      <c r="H460" s="156">
        <v>1166.08</v>
      </c>
      <c r="I460" s="156">
        <v>95740.64</v>
      </c>
      <c r="J460" s="156">
        <v>0</v>
      </c>
      <c r="K460" s="131">
        <f t="shared" si="74"/>
        <v>96906.72</v>
      </c>
      <c r="L460" s="134">
        <v>0.1792</v>
      </c>
    </row>
    <row r="461" spans="3:12">
      <c r="C461" s="161">
        <f t="shared" si="72"/>
        <v>2020</v>
      </c>
      <c r="D461" s="35" t="s">
        <v>266</v>
      </c>
      <c r="E461" s="227">
        <v>43831</v>
      </c>
      <c r="F461" s="156">
        <v>219196.99</v>
      </c>
      <c r="G461" s="131">
        <f t="shared" si="73"/>
        <v>39280.100608000001</v>
      </c>
      <c r="H461" s="156">
        <v>2613.94</v>
      </c>
      <c r="I461" s="156">
        <v>71783.95</v>
      </c>
      <c r="J461" s="156">
        <v>0</v>
      </c>
      <c r="K461" s="131">
        <f t="shared" si="74"/>
        <v>74397.89</v>
      </c>
      <c r="L461" s="134">
        <v>0.1792</v>
      </c>
    </row>
    <row r="462" spans="3:12">
      <c r="C462" s="161">
        <f t="shared" si="72"/>
        <v>2020</v>
      </c>
      <c r="D462" s="35" t="s">
        <v>266</v>
      </c>
      <c r="E462" s="227">
        <v>43862</v>
      </c>
      <c r="F462" s="156">
        <v>212438.93</v>
      </c>
      <c r="G462" s="131">
        <f t="shared" si="73"/>
        <v>38069.056255999996</v>
      </c>
      <c r="H462" s="156">
        <v>313.24</v>
      </c>
      <c r="I462" s="156">
        <v>348482.09</v>
      </c>
      <c r="J462" s="156">
        <v>0</v>
      </c>
      <c r="K462" s="131">
        <f t="shared" si="74"/>
        <v>348795.33</v>
      </c>
      <c r="L462" s="134">
        <v>0.1792</v>
      </c>
    </row>
    <row r="463" spans="3:12">
      <c r="C463" s="161">
        <f t="shared" si="72"/>
        <v>2020</v>
      </c>
      <c r="D463" s="35" t="s">
        <v>266</v>
      </c>
      <c r="E463" s="227">
        <v>43891</v>
      </c>
      <c r="F463" s="156">
        <v>215825.84265000001</v>
      </c>
      <c r="G463" s="131">
        <f t="shared" si="73"/>
        <v>38675.99100288</v>
      </c>
      <c r="H463" s="156">
        <v>1511.77</v>
      </c>
      <c r="I463" s="156">
        <v>254697.48</v>
      </c>
      <c r="J463" s="156">
        <v>0</v>
      </c>
      <c r="K463" s="131">
        <f t="shared" si="74"/>
        <v>256209.25</v>
      </c>
      <c r="L463" s="134">
        <v>0.1792</v>
      </c>
    </row>
    <row r="464" spans="3:12">
      <c r="C464" s="161">
        <f t="shared" si="72"/>
        <v>2020</v>
      </c>
      <c r="D464" s="35" t="s">
        <v>266</v>
      </c>
      <c r="E464" s="227">
        <v>43922</v>
      </c>
      <c r="F464" s="156">
        <v>235498.36447500001</v>
      </c>
      <c r="G464" s="131">
        <f t="shared" si="73"/>
        <v>42201.306913920002</v>
      </c>
      <c r="H464" s="156">
        <v>359.59</v>
      </c>
      <c r="I464" s="156">
        <v>204010.38</v>
      </c>
      <c r="J464" s="156">
        <v>0</v>
      </c>
      <c r="K464" s="131">
        <f t="shared" si="74"/>
        <v>204369.97</v>
      </c>
      <c r="L464" s="134">
        <v>0.1792</v>
      </c>
    </row>
    <row r="465" spans="3:12">
      <c r="C465" s="161">
        <f t="shared" si="72"/>
        <v>2020</v>
      </c>
      <c r="D465" s="35" t="s">
        <v>266</v>
      </c>
      <c r="E465" s="227">
        <v>43952</v>
      </c>
      <c r="F465" s="156">
        <v>222016.86</v>
      </c>
      <c r="G465" s="131">
        <f t="shared" si="73"/>
        <v>39785.421311999999</v>
      </c>
      <c r="H465" s="156">
        <v>1079.6099999999999</v>
      </c>
      <c r="I465" s="156">
        <v>90236.39</v>
      </c>
      <c r="J465" s="156">
        <v>0</v>
      </c>
      <c r="K465" s="131">
        <f t="shared" si="74"/>
        <v>91316</v>
      </c>
      <c r="L465" s="134">
        <v>0.1792</v>
      </c>
    </row>
    <row r="466" spans="3:12">
      <c r="C466" s="161">
        <f t="shared" si="72"/>
        <v>2020</v>
      </c>
      <c r="D466" s="35" t="s">
        <v>266</v>
      </c>
      <c r="E466" s="227">
        <v>43983</v>
      </c>
      <c r="F466" s="156">
        <v>205382.8</v>
      </c>
      <c r="G466" s="131">
        <f t="shared" si="73"/>
        <v>36804.597759999997</v>
      </c>
      <c r="H466" s="156">
        <v>6736.49</v>
      </c>
      <c r="I466" s="156">
        <v>171715.87</v>
      </c>
      <c r="J466" s="156">
        <v>0</v>
      </c>
      <c r="K466" s="131">
        <f t="shared" si="74"/>
        <v>178452.36</v>
      </c>
      <c r="L466" s="134">
        <v>0.1792</v>
      </c>
    </row>
    <row r="467" spans="3:12">
      <c r="C467" s="161">
        <f t="shared" si="72"/>
        <v>2020</v>
      </c>
      <c r="D467" s="35" t="s">
        <v>266</v>
      </c>
      <c r="E467" s="227">
        <v>44013</v>
      </c>
      <c r="F467" s="156">
        <v>208821.91</v>
      </c>
      <c r="G467" s="131">
        <f t="shared" si="73"/>
        <v>37420.886272000003</v>
      </c>
      <c r="H467" s="156">
        <v>898.09</v>
      </c>
      <c r="I467" s="156">
        <v>28088.61</v>
      </c>
      <c r="J467" s="156">
        <v>0</v>
      </c>
      <c r="K467" s="131">
        <f t="shared" si="74"/>
        <v>28986.7</v>
      </c>
      <c r="L467" s="134">
        <v>0.1792</v>
      </c>
    </row>
    <row r="468" spans="3:12">
      <c r="C468" s="161">
        <f t="shared" si="72"/>
        <v>2020</v>
      </c>
      <c r="D468" s="35" t="s">
        <v>266</v>
      </c>
      <c r="E468" s="227">
        <v>44044</v>
      </c>
      <c r="F468" s="156">
        <v>237889.15</v>
      </c>
      <c r="G468" s="131">
        <f t="shared" si="73"/>
        <v>42629.735679999998</v>
      </c>
      <c r="H468" s="156">
        <v>831.86</v>
      </c>
      <c r="I468" s="156">
        <v>99670.09</v>
      </c>
      <c r="J468" s="156">
        <v>0</v>
      </c>
      <c r="K468" s="131">
        <f t="shared" si="74"/>
        <v>100501.95</v>
      </c>
      <c r="L468" s="134">
        <v>0.1792</v>
      </c>
    </row>
    <row r="469" spans="3:12">
      <c r="C469" s="161">
        <f t="shared" si="72"/>
        <v>2020</v>
      </c>
      <c r="D469" s="35" t="s">
        <v>266</v>
      </c>
      <c r="E469" s="227">
        <v>44075</v>
      </c>
      <c r="F469" s="156">
        <v>247350.6</v>
      </c>
      <c r="G469" s="131">
        <f t="shared" si="73"/>
        <v>44325.22752</v>
      </c>
      <c r="H469" s="156">
        <v>972.49</v>
      </c>
      <c r="I469" s="156">
        <v>31520.83</v>
      </c>
      <c r="J469" s="156">
        <v>0</v>
      </c>
      <c r="K469" s="131">
        <f t="shared" si="74"/>
        <v>32493.320000000003</v>
      </c>
      <c r="L469" s="134">
        <v>0.1792</v>
      </c>
    </row>
    <row r="470" spans="3:12">
      <c r="C470" s="161">
        <f t="shared" si="72"/>
        <v>2020</v>
      </c>
      <c r="D470" s="35" t="s">
        <v>266</v>
      </c>
      <c r="E470" s="227">
        <v>44105</v>
      </c>
      <c r="F470" s="156">
        <v>269431.76</v>
      </c>
      <c r="G470" s="131">
        <f t="shared" si="73"/>
        <v>48282.171392000004</v>
      </c>
      <c r="H470" s="156">
        <v>483.36</v>
      </c>
      <c r="I470" s="156">
        <v>28611.52</v>
      </c>
      <c r="J470" s="156">
        <v>0</v>
      </c>
      <c r="K470" s="131">
        <f t="shared" si="74"/>
        <v>29094.880000000001</v>
      </c>
      <c r="L470" s="134">
        <v>0.1792</v>
      </c>
    </row>
    <row r="471" spans="3:12">
      <c r="C471" s="161">
        <f t="shared" si="72"/>
        <v>2020</v>
      </c>
      <c r="D471" s="35" t="s">
        <v>266</v>
      </c>
      <c r="E471" s="227">
        <v>44136</v>
      </c>
      <c r="F471" s="156">
        <v>269835.82</v>
      </c>
      <c r="G471" s="131">
        <f t="shared" si="73"/>
        <v>48354.578944000001</v>
      </c>
      <c r="H471" s="156">
        <v>2247.52</v>
      </c>
      <c r="I471" s="156">
        <v>29462.61</v>
      </c>
      <c r="J471" s="156">
        <v>0</v>
      </c>
      <c r="K471" s="131">
        <f t="shared" si="74"/>
        <v>31710.13</v>
      </c>
      <c r="L471" s="134">
        <v>0.1792</v>
      </c>
    </row>
    <row r="472" spans="3:12">
      <c r="C472" s="161">
        <f t="shared" si="72"/>
        <v>2020</v>
      </c>
      <c r="D472" s="35" t="s">
        <v>266</v>
      </c>
      <c r="E472" s="227">
        <v>44166</v>
      </c>
      <c r="F472" s="156">
        <v>273788.55</v>
      </c>
      <c r="G472" s="131">
        <f t="shared" si="73"/>
        <v>49062.908159999999</v>
      </c>
      <c r="H472" s="156">
        <v>1626.77</v>
      </c>
      <c r="I472" s="156">
        <v>29822.31</v>
      </c>
      <c r="J472" s="156">
        <v>0</v>
      </c>
      <c r="K472" s="131">
        <f t="shared" si="74"/>
        <v>31449.08</v>
      </c>
      <c r="L472" s="134">
        <v>0.1792</v>
      </c>
    </row>
    <row r="473" spans="3:12">
      <c r="C473" s="161">
        <f t="shared" si="72"/>
        <v>2021</v>
      </c>
      <c r="D473" s="35" t="s">
        <v>266</v>
      </c>
      <c r="E473" s="227">
        <v>44197</v>
      </c>
      <c r="F473" s="156">
        <v>277427.83</v>
      </c>
      <c r="G473" s="131">
        <f t="shared" si="73"/>
        <v>49715.067136000005</v>
      </c>
      <c r="H473" s="156">
        <v>1036.97</v>
      </c>
      <c r="I473" s="156">
        <v>31256.41</v>
      </c>
      <c r="J473" s="156">
        <v>1719.34</v>
      </c>
      <c r="K473" s="131">
        <f t="shared" si="74"/>
        <v>34012.720000000001</v>
      </c>
      <c r="L473" s="134">
        <v>0.1792</v>
      </c>
    </row>
    <row r="474" spans="3:12">
      <c r="C474" s="161">
        <f t="shared" si="72"/>
        <v>2021</v>
      </c>
      <c r="D474" s="35" t="s">
        <v>266</v>
      </c>
      <c r="E474" s="227">
        <v>44229</v>
      </c>
      <c r="F474" s="156">
        <v>253390.54</v>
      </c>
      <c r="G474" s="131">
        <f t="shared" si="73"/>
        <v>45407.584768000001</v>
      </c>
      <c r="H474" s="156">
        <v>0</v>
      </c>
      <c r="I474" s="156">
        <v>28549.599999999999</v>
      </c>
      <c r="J474" s="156">
        <v>0</v>
      </c>
      <c r="K474" s="131">
        <f t="shared" si="74"/>
        <v>28549.599999999999</v>
      </c>
      <c r="L474" s="134">
        <v>0.1792</v>
      </c>
    </row>
    <row r="475" spans="3:12">
      <c r="C475" s="161">
        <f t="shared" si="72"/>
        <v>2021</v>
      </c>
      <c r="D475" s="35" t="s">
        <v>266</v>
      </c>
      <c r="E475" s="227">
        <v>44258</v>
      </c>
      <c r="F475" s="156">
        <v>245469.82</v>
      </c>
      <c r="G475" s="131">
        <f t="shared" si="73"/>
        <v>43988.191744000003</v>
      </c>
      <c r="H475" s="156">
        <v>12897.1</v>
      </c>
      <c r="I475" s="156">
        <v>38276.28</v>
      </c>
      <c r="J475" s="156">
        <v>0</v>
      </c>
      <c r="K475" s="131">
        <f t="shared" si="74"/>
        <v>51173.38</v>
      </c>
      <c r="L475" s="134">
        <v>0.1792</v>
      </c>
    </row>
    <row r="476" spans="3:12">
      <c r="C476" s="161">
        <f t="shared" si="72"/>
        <v>2021</v>
      </c>
      <c r="D476" s="35" t="s">
        <v>266</v>
      </c>
      <c r="E476" s="227">
        <v>44290</v>
      </c>
      <c r="F476" s="156">
        <v>259526.98</v>
      </c>
      <c r="G476" s="131">
        <f t="shared" si="73"/>
        <v>46507.234816000004</v>
      </c>
      <c r="H476" s="156">
        <v>5489.72</v>
      </c>
      <c r="I476" s="156">
        <v>29414.98</v>
      </c>
      <c r="J476" s="156">
        <v>0</v>
      </c>
      <c r="K476" s="131">
        <f t="shared" si="74"/>
        <v>34904.699999999997</v>
      </c>
      <c r="L476" s="134">
        <v>0.1792</v>
      </c>
    </row>
    <row r="477" spans="3:12">
      <c r="C477" s="161">
        <f t="shared" si="72"/>
        <v>2021</v>
      </c>
      <c r="D477" s="35" t="s">
        <v>266</v>
      </c>
      <c r="E477" s="227">
        <v>44321</v>
      </c>
      <c r="F477" s="156">
        <v>202562.57</v>
      </c>
      <c r="G477" s="131">
        <f t="shared" si="73"/>
        <v>36299.212544000002</v>
      </c>
      <c r="H477" s="156">
        <v>3287.63</v>
      </c>
      <c r="I477" s="156">
        <v>28415.91</v>
      </c>
      <c r="J477" s="156">
        <v>0</v>
      </c>
      <c r="K477" s="131">
        <f t="shared" si="74"/>
        <v>31703.54</v>
      </c>
      <c r="L477" s="134">
        <v>0.1792</v>
      </c>
    </row>
    <row r="478" spans="3:12">
      <c r="C478" s="161">
        <f t="shared" si="72"/>
        <v>2021</v>
      </c>
      <c r="D478" s="35" t="s">
        <v>266</v>
      </c>
      <c r="E478" s="227">
        <v>44353</v>
      </c>
      <c r="F478" s="156">
        <v>209090.74</v>
      </c>
      <c r="G478" s="131">
        <f t="shared" si="73"/>
        <v>37469.060608</v>
      </c>
      <c r="H478" s="156">
        <v>605.16999999999996</v>
      </c>
      <c r="I478" s="156">
        <v>28352.61</v>
      </c>
      <c r="J478" s="156">
        <v>0</v>
      </c>
      <c r="K478" s="131">
        <f t="shared" si="74"/>
        <v>28957.78</v>
      </c>
      <c r="L478" s="134">
        <v>0.1792</v>
      </c>
    </row>
    <row r="479" spans="3:12">
      <c r="C479" s="161">
        <f t="shared" si="72"/>
        <v>2015</v>
      </c>
      <c r="D479" s="35" t="s">
        <v>268</v>
      </c>
      <c r="E479" s="227">
        <v>42309</v>
      </c>
      <c r="F479" s="156">
        <v>479564.9</v>
      </c>
      <c r="G479" s="131">
        <f t="shared" si="73"/>
        <v>85938.030079999997</v>
      </c>
      <c r="H479" s="156">
        <v>7662.07</v>
      </c>
      <c r="I479" s="156">
        <v>9594.9599999999991</v>
      </c>
      <c r="J479" s="156">
        <v>0</v>
      </c>
      <c r="K479" s="131">
        <f t="shared" si="74"/>
        <v>17257.03</v>
      </c>
      <c r="L479" s="134">
        <v>0.1792</v>
      </c>
    </row>
    <row r="480" spans="3:12">
      <c r="C480" s="161">
        <f t="shared" si="72"/>
        <v>2015</v>
      </c>
      <c r="D480" s="35" t="s">
        <v>268</v>
      </c>
      <c r="E480" s="227">
        <v>42339</v>
      </c>
      <c r="F480" s="156">
        <v>441466.64</v>
      </c>
      <c r="G480" s="131">
        <f t="shared" si="73"/>
        <v>79110.821888000006</v>
      </c>
      <c r="H480" s="156">
        <v>3432.07</v>
      </c>
      <c r="I480" s="156">
        <v>5252.13</v>
      </c>
      <c r="J480" s="156">
        <v>0</v>
      </c>
      <c r="K480" s="131">
        <f t="shared" si="74"/>
        <v>8684.2000000000007</v>
      </c>
      <c r="L480" s="134">
        <v>0.1792</v>
      </c>
    </row>
    <row r="481" spans="3:12">
      <c r="C481" s="161">
        <f t="shared" si="72"/>
        <v>2016</v>
      </c>
      <c r="D481" s="35" t="s">
        <v>268</v>
      </c>
      <c r="E481" s="227">
        <v>42370</v>
      </c>
      <c r="F481" s="156">
        <v>458392.41</v>
      </c>
      <c r="G481" s="131">
        <f t="shared" si="73"/>
        <v>82143.919871999999</v>
      </c>
      <c r="H481" s="156">
        <v>3067.43</v>
      </c>
      <c r="I481" s="156">
        <v>0</v>
      </c>
      <c r="J481" s="156">
        <v>1573.69</v>
      </c>
      <c r="K481" s="131">
        <f t="shared" si="74"/>
        <v>4641.12</v>
      </c>
      <c r="L481" s="134">
        <v>0.1792</v>
      </c>
    </row>
    <row r="482" spans="3:12">
      <c r="C482" s="161">
        <f t="shared" si="72"/>
        <v>2016</v>
      </c>
      <c r="D482" s="35" t="s">
        <v>268</v>
      </c>
      <c r="E482" s="227">
        <v>42401</v>
      </c>
      <c r="F482" s="156">
        <v>449065.33</v>
      </c>
      <c r="G482" s="131">
        <f t="shared" si="73"/>
        <v>80472.507136</v>
      </c>
      <c r="H482" s="156">
        <v>3413.84</v>
      </c>
      <c r="I482" s="156">
        <v>1609.04</v>
      </c>
      <c r="J482" s="156">
        <v>0</v>
      </c>
      <c r="K482" s="131">
        <f t="shared" si="74"/>
        <v>5022.88</v>
      </c>
      <c r="L482" s="134">
        <v>0.1792</v>
      </c>
    </row>
    <row r="483" spans="3:12">
      <c r="C483" s="161">
        <f t="shared" si="72"/>
        <v>2016</v>
      </c>
      <c r="D483" s="35" t="s">
        <v>268</v>
      </c>
      <c r="E483" s="227">
        <v>42430</v>
      </c>
      <c r="F483" s="156">
        <v>430165.6</v>
      </c>
      <c r="G483" s="131">
        <f t="shared" si="73"/>
        <v>77085.67551999999</v>
      </c>
      <c r="H483" s="156">
        <v>1185.52</v>
      </c>
      <c r="I483" s="156">
        <v>15696.03</v>
      </c>
      <c r="J483" s="156">
        <v>91332.78</v>
      </c>
      <c r="K483" s="131">
        <f t="shared" si="74"/>
        <v>108214.33</v>
      </c>
      <c r="L483" s="134">
        <v>0.1792</v>
      </c>
    </row>
    <row r="484" spans="3:12">
      <c r="C484" s="161">
        <f t="shared" si="72"/>
        <v>2016</v>
      </c>
      <c r="D484" s="35" t="s">
        <v>268</v>
      </c>
      <c r="E484" s="227">
        <v>42461</v>
      </c>
      <c r="F484" s="156">
        <v>465141.98</v>
      </c>
      <c r="G484" s="131">
        <f t="shared" si="73"/>
        <v>83353.442815999995</v>
      </c>
      <c r="H484" s="156">
        <v>984.91</v>
      </c>
      <c r="I484" s="156">
        <v>215021.72</v>
      </c>
      <c r="J484" s="156">
        <v>0</v>
      </c>
      <c r="K484" s="131">
        <f t="shared" si="74"/>
        <v>216006.63</v>
      </c>
      <c r="L484" s="134">
        <v>0.1792</v>
      </c>
    </row>
    <row r="485" spans="3:12">
      <c r="C485" s="161">
        <f t="shared" si="72"/>
        <v>2016</v>
      </c>
      <c r="D485" s="35" t="s">
        <v>268</v>
      </c>
      <c r="E485" s="227">
        <v>42491</v>
      </c>
      <c r="F485" s="156">
        <v>445211.91</v>
      </c>
      <c r="G485" s="131">
        <f t="shared" si="73"/>
        <v>79781.974271999992</v>
      </c>
      <c r="H485" s="156">
        <v>6041.35</v>
      </c>
      <c r="I485" s="156">
        <v>2726.39</v>
      </c>
      <c r="J485" s="156">
        <v>0</v>
      </c>
      <c r="K485" s="131">
        <f t="shared" si="74"/>
        <v>8767.74</v>
      </c>
      <c r="L485" s="134">
        <v>0.1792</v>
      </c>
    </row>
    <row r="486" spans="3:12">
      <c r="C486" s="161">
        <f t="shared" si="72"/>
        <v>2016</v>
      </c>
      <c r="D486" s="35" t="s">
        <v>268</v>
      </c>
      <c r="E486" s="227">
        <v>42522</v>
      </c>
      <c r="F486" s="156">
        <v>435141.69</v>
      </c>
      <c r="G486" s="131">
        <f t="shared" si="73"/>
        <v>77977.390847999995</v>
      </c>
      <c r="H486" s="156">
        <v>194994.79</v>
      </c>
      <c r="I486" s="156">
        <v>0</v>
      </c>
      <c r="J486" s="156">
        <v>9973.35</v>
      </c>
      <c r="K486" s="131">
        <f t="shared" si="74"/>
        <v>204968.14</v>
      </c>
      <c r="L486" s="134">
        <v>0.1792</v>
      </c>
    </row>
    <row r="487" spans="3:12">
      <c r="C487" s="161">
        <f t="shared" si="72"/>
        <v>2016</v>
      </c>
      <c r="D487" s="35" t="s">
        <v>268</v>
      </c>
      <c r="E487" s="227">
        <v>42552</v>
      </c>
      <c r="F487" s="156">
        <v>487807.59</v>
      </c>
      <c r="G487" s="131">
        <f t="shared" si="73"/>
        <v>87415.12012800001</v>
      </c>
      <c r="H487" s="156">
        <v>2076.1</v>
      </c>
      <c r="I487" s="156">
        <v>64061.7</v>
      </c>
      <c r="J487" s="156">
        <v>0</v>
      </c>
      <c r="K487" s="131">
        <f t="shared" si="74"/>
        <v>66137.8</v>
      </c>
      <c r="L487" s="134">
        <v>0.1792</v>
      </c>
    </row>
    <row r="488" spans="3:12">
      <c r="C488" s="161">
        <f t="shared" si="72"/>
        <v>2016</v>
      </c>
      <c r="D488" s="35" t="s">
        <v>268</v>
      </c>
      <c r="E488" s="227">
        <v>42583</v>
      </c>
      <c r="F488" s="156">
        <v>517664.09</v>
      </c>
      <c r="G488" s="131">
        <f t="shared" si="73"/>
        <v>92765.404928000004</v>
      </c>
      <c r="H488" s="156">
        <v>18689.98</v>
      </c>
      <c r="I488" s="156">
        <v>4125.2299999999996</v>
      </c>
      <c r="J488" s="156">
        <v>0</v>
      </c>
      <c r="K488" s="131">
        <f t="shared" si="74"/>
        <v>22815.21</v>
      </c>
      <c r="L488" s="134">
        <v>0.1792</v>
      </c>
    </row>
    <row r="489" spans="3:12">
      <c r="C489" s="161">
        <f t="shared" si="72"/>
        <v>2016</v>
      </c>
      <c r="D489" s="35" t="s">
        <v>268</v>
      </c>
      <c r="E489" s="227">
        <v>42614</v>
      </c>
      <c r="F489" s="156">
        <v>487890.4</v>
      </c>
      <c r="G489" s="131">
        <f t="shared" si="73"/>
        <v>87429.95968</v>
      </c>
      <c r="H489" s="156">
        <v>6231.11</v>
      </c>
      <c r="I489" s="156">
        <v>30237.41</v>
      </c>
      <c r="J489" s="156">
        <v>273.79000000000002</v>
      </c>
      <c r="K489" s="131">
        <f t="shared" si="74"/>
        <v>36742.31</v>
      </c>
      <c r="L489" s="134">
        <v>0.1792</v>
      </c>
    </row>
    <row r="490" spans="3:12">
      <c r="C490" s="161">
        <f t="shared" si="72"/>
        <v>2016</v>
      </c>
      <c r="D490" s="35" t="s">
        <v>268</v>
      </c>
      <c r="E490" s="227">
        <v>42644</v>
      </c>
      <c r="F490" s="156">
        <v>510983.9</v>
      </c>
      <c r="G490" s="131">
        <f t="shared" si="73"/>
        <v>91568.314880000005</v>
      </c>
      <c r="H490" s="156">
        <v>6842.52</v>
      </c>
      <c r="I490" s="156">
        <v>0</v>
      </c>
      <c r="J490" s="156">
        <v>2732.66</v>
      </c>
      <c r="K490" s="131">
        <f t="shared" si="74"/>
        <v>9575.18</v>
      </c>
      <c r="L490" s="134">
        <v>0.1792</v>
      </c>
    </row>
    <row r="491" spans="3:12">
      <c r="C491" s="161">
        <f t="shared" si="72"/>
        <v>2016</v>
      </c>
      <c r="D491" s="35" t="s">
        <v>268</v>
      </c>
      <c r="E491" s="227">
        <v>42675</v>
      </c>
      <c r="F491" s="156">
        <v>515012.72</v>
      </c>
      <c r="G491" s="131">
        <f t="shared" si="73"/>
        <v>92290.279423999993</v>
      </c>
      <c r="H491" s="156">
        <v>13362.76</v>
      </c>
      <c r="I491" s="156">
        <v>46135.56</v>
      </c>
      <c r="J491" s="156">
        <v>0</v>
      </c>
      <c r="K491" s="131">
        <f t="shared" si="74"/>
        <v>59498.32</v>
      </c>
      <c r="L491" s="134">
        <v>0.1792</v>
      </c>
    </row>
    <row r="492" spans="3:12">
      <c r="C492" s="161">
        <f t="shared" si="72"/>
        <v>2016</v>
      </c>
      <c r="D492" s="35" t="s">
        <v>268</v>
      </c>
      <c r="E492" s="227">
        <v>42705</v>
      </c>
      <c r="F492" s="156">
        <v>514146.56</v>
      </c>
      <c r="G492" s="131">
        <f t="shared" si="73"/>
        <v>92135.063551999992</v>
      </c>
      <c r="H492" s="156">
        <v>17899.189999999999</v>
      </c>
      <c r="I492" s="156">
        <v>0</v>
      </c>
      <c r="J492" s="156">
        <v>1576.4</v>
      </c>
      <c r="K492" s="131">
        <f t="shared" si="74"/>
        <v>19475.59</v>
      </c>
      <c r="L492" s="134">
        <v>0.1792</v>
      </c>
    </row>
    <row r="493" spans="3:12">
      <c r="C493" s="161">
        <f t="shared" si="72"/>
        <v>2017</v>
      </c>
      <c r="D493" s="35" t="s">
        <v>268</v>
      </c>
      <c r="E493" s="227">
        <v>42736</v>
      </c>
      <c r="F493" s="156">
        <v>520352.32</v>
      </c>
      <c r="G493" s="131">
        <f t="shared" si="73"/>
        <v>93247.135743999999</v>
      </c>
      <c r="H493" s="156">
        <v>2792.49</v>
      </c>
      <c r="I493" s="156">
        <v>0</v>
      </c>
      <c r="J493" s="156">
        <v>5740.13</v>
      </c>
      <c r="K493" s="131">
        <f t="shared" si="74"/>
        <v>8532.619999999999</v>
      </c>
      <c r="L493" s="134">
        <v>0.1792</v>
      </c>
    </row>
    <row r="494" spans="3:12">
      <c r="C494" s="161">
        <f t="shared" si="72"/>
        <v>2017</v>
      </c>
      <c r="D494" s="35" t="s">
        <v>268</v>
      </c>
      <c r="E494" s="227">
        <v>42767</v>
      </c>
      <c r="F494" s="156">
        <v>519391.6</v>
      </c>
      <c r="G494" s="131">
        <f t="shared" si="73"/>
        <v>93074.974719999998</v>
      </c>
      <c r="H494" s="156">
        <v>2629.47</v>
      </c>
      <c r="I494" s="156">
        <v>53712.61</v>
      </c>
      <c r="J494" s="156">
        <v>0</v>
      </c>
      <c r="K494" s="131">
        <f t="shared" si="74"/>
        <v>56342.080000000002</v>
      </c>
      <c r="L494" s="134">
        <v>0.1792</v>
      </c>
    </row>
    <row r="495" spans="3:12">
      <c r="C495" s="161">
        <f t="shared" si="72"/>
        <v>2017</v>
      </c>
      <c r="D495" s="35" t="s">
        <v>268</v>
      </c>
      <c r="E495" s="227">
        <v>42795</v>
      </c>
      <c r="F495" s="156">
        <v>512597.52</v>
      </c>
      <c r="G495" s="131">
        <f t="shared" si="73"/>
        <v>91857.475584</v>
      </c>
      <c r="H495" s="156">
        <v>1362.66</v>
      </c>
      <c r="I495" s="156">
        <v>2463.94</v>
      </c>
      <c r="J495" s="156">
        <v>0</v>
      </c>
      <c r="K495" s="131">
        <f t="shared" si="74"/>
        <v>3826.6000000000004</v>
      </c>
      <c r="L495" s="134">
        <v>0.1792</v>
      </c>
    </row>
    <row r="496" spans="3:12">
      <c r="C496" s="161">
        <f t="shared" si="72"/>
        <v>2017</v>
      </c>
      <c r="D496" s="35" t="s">
        <v>268</v>
      </c>
      <c r="E496" s="227">
        <v>42826</v>
      </c>
      <c r="F496" s="156">
        <v>516309.82</v>
      </c>
      <c r="G496" s="131">
        <f t="shared" si="73"/>
        <v>92522.719744000002</v>
      </c>
      <c r="H496" s="156">
        <v>2148.86</v>
      </c>
      <c r="I496" s="156">
        <v>10359.43</v>
      </c>
      <c r="J496" s="156">
        <v>0</v>
      </c>
      <c r="K496" s="131">
        <f t="shared" si="74"/>
        <v>12508.29</v>
      </c>
      <c r="L496" s="134">
        <v>0.1792</v>
      </c>
    </row>
    <row r="497" spans="3:12">
      <c r="C497" s="161">
        <f t="shared" si="72"/>
        <v>2017</v>
      </c>
      <c r="D497" s="35" t="s">
        <v>268</v>
      </c>
      <c r="E497" s="227">
        <v>42856</v>
      </c>
      <c r="F497" s="156">
        <v>492899.95</v>
      </c>
      <c r="G497" s="131">
        <f t="shared" si="73"/>
        <v>88327.671040000001</v>
      </c>
      <c r="H497" s="156">
        <v>4042.3</v>
      </c>
      <c r="I497" s="156">
        <v>0</v>
      </c>
      <c r="J497" s="156">
        <v>0</v>
      </c>
      <c r="K497" s="131">
        <f t="shared" si="74"/>
        <v>4042.3</v>
      </c>
      <c r="L497" s="134">
        <v>0.1792</v>
      </c>
    </row>
    <row r="498" spans="3:12">
      <c r="C498" s="161">
        <f t="shared" si="72"/>
        <v>2017</v>
      </c>
      <c r="D498" s="35" t="s">
        <v>268</v>
      </c>
      <c r="E498" s="227">
        <v>42887</v>
      </c>
      <c r="F498" s="156">
        <v>463963.99</v>
      </c>
      <c r="G498" s="131">
        <f t="shared" si="73"/>
        <v>83142.347007999997</v>
      </c>
      <c r="H498" s="156">
        <v>4450.3500000000004</v>
      </c>
      <c r="I498" s="156">
        <v>23609.27</v>
      </c>
      <c r="J498" s="156">
        <v>218.75</v>
      </c>
      <c r="K498" s="131">
        <f t="shared" si="74"/>
        <v>28278.370000000003</v>
      </c>
      <c r="L498" s="134">
        <v>0.1792</v>
      </c>
    </row>
    <row r="499" spans="3:12">
      <c r="C499" s="161">
        <f t="shared" si="72"/>
        <v>2017</v>
      </c>
      <c r="D499" s="35" t="s">
        <v>268</v>
      </c>
      <c r="E499" s="227">
        <v>42917</v>
      </c>
      <c r="F499" s="156">
        <v>500908.42</v>
      </c>
      <c r="G499" s="131">
        <f t="shared" si="73"/>
        <v>89762.788864000002</v>
      </c>
      <c r="H499" s="156">
        <v>5836.91</v>
      </c>
      <c r="I499" s="156">
        <v>5348.62</v>
      </c>
      <c r="J499" s="156">
        <v>0</v>
      </c>
      <c r="K499" s="131">
        <f t="shared" si="74"/>
        <v>11185.529999999999</v>
      </c>
      <c r="L499" s="134">
        <v>0.1792</v>
      </c>
    </row>
    <row r="500" spans="3:12">
      <c r="C500" s="161">
        <f t="shared" si="72"/>
        <v>2017</v>
      </c>
      <c r="D500" s="35" t="s">
        <v>268</v>
      </c>
      <c r="E500" s="227">
        <v>42948</v>
      </c>
      <c r="F500" s="156">
        <v>533609.84</v>
      </c>
      <c r="G500" s="131">
        <f t="shared" si="73"/>
        <v>95622.883327999996</v>
      </c>
      <c r="H500" s="156">
        <v>3548.72</v>
      </c>
      <c r="I500" s="156">
        <v>94736.1</v>
      </c>
      <c r="J500" s="156">
        <v>287.61</v>
      </c>
      <c r="K500" s="131">
        <f t="shared" si="74"/>
        <v>98572.430000000008</v>
      </c>
      <c r="L500" s="134">
        <v>0.1792</v>
      </c>
    </row>
    <row r="501" spans="3:12">
      <c r="C501" s="161">
        <f t="shared" si="72"/>
        <v>2017</v>
      </c>
      <c r="D501" s="35" t="s">
        <v>268</v>
      </c>
      <c r="E501" s="227">
        <v>42979</v>
      </c>
      <c r="F501" s="156">
        <v>536495.59</v>
      </c>
      <c r="G501" s="131">
        <f t="shared" si="73"/>
        <v>96140.00972799999</v>
      </c>
      <c r="H501" s="156">
        <v>3273.77</v>
      </c>
      <c r="I501" s="156">
        <v>7837.46</v>
      </c>
      <c r="J501" s="156">
        <v>0</v>
      </c>
      <c r="K501" s="131">
        <f t="shared" si="74"/>
        <v>11111.23</v>
      </c>
      <c r="L501" s="134">
        <v>0.1792</v>
      </c>
    </row>
    <row r="502" spans="3:12">
      <c r="C502" s="161">
        <f t="shared" si="72"/>
        <v>2017</v>
      </c>
      <c r="D502" s="35" t="s">
        <v>268</v>
      </c>
      <c r="E502" s="227">
        <v>43009</v>
      </c>
      <c r="F502" s="156">
        <v>546702.51</v>
      </c>
      <c r="G502" s="131">
        <f t="shared" si="73"/>
        <v>97969.089791999999</v>
      </c>
      <c r="H502" s="156">
        <v>1106.1300000000001</v>
      </c>
      <c r="I502" s="156">
        <v>10863.56</v>
      </c>
      <c r="J502" s="156">
        <v>0</v>
      </c>
      <c r="K502" s="131">
        <f t="shared" si="74"/>
        <v>11969.689999999999</v>
      </c>
      <c r="L502" s="134">
        <v>0.1792</v>
      </c>
    </row>
    <row r="503" spans="3:12">
      <c r="C503" s="161">
        <f t="shared" si="72"/>
        <v>2017</v>
      </c>
      <c r="D503" s="35" t="s">
        <v>268</v>
      </c>
      <c r="E503" s="227">
        <v>43040</v>
      </c>
      <c r="F503" s="156">
        <v>546866.65</v>
      </c>
      <c r="G503" s="131">
        <f t="shared" si="73"/>
        <v>97998.503680000009</v>
      </c>
      <c r="H503" s="156">
        <v>224629.57</v>
      </c>
      <c r="I503" s="156">
        <v>0</v>
      </c>
      <c r="J503" s="156">
        <v>138500</v>
      </c>
      <c r="K503" s="131">
        <f t="shared" si="74"/>
        <v>363129.57</v>
      </c>
      <c r="L503" s="134">
        <v>0.1792</v>
      </c>
    </row>
    <row r="504" spans="3:12">
      <c r="C504" s="161">
        <f t="shared" si="72"/>
        <v>2017</v>
      </c>
      <c r="D504" s="35" t="s">
        <v>268</v>
      </c>
      <c r="E504" s="227">
        <v>43070</v>
      </c>
      <c r="F504" s="156">
        <v>505307.78</v>
      </c>
      <c r="G504" s="131">
        <f t="shared" si="73"/>
        <v>90551.154176000011</v>
      </c>
      <c r="H504" s="156">
        <v>212721.84</v>
      </c>
      <c r="I504" s="156">
        <v>0</v>
      </c>
      <c r="J504" s="156">
        <v>16000</v>
      </c>
      <c r="K504" s="131">
        <f t="shared" si="74"/>
        <v>228721.84</v>
      </c>
      <c r="L504" s="134">
        <v>0.1792</v>
      </c>
    </row>
    <row r="505" spans="3:12">
      <c r="C505" s="161">
        <f t="shared" si="72"/>
        <v>2018</v>
      </c>
      <c r="D505" s="35" t="s">
        <v>268</v>
      </c>
      <c r="E505" s="227">
        <v>43101</v>
      </c>
      <c r="F505" s="156">
        <v>519410.72</v>
      </c>
      <c r="G505" s="131">
        <f t="shared" si="73"/>
        <v>93078.401023999992</v>
      </c>
      <c r="H505" s="156">
        <v>19354.47</v>
      </c>
      <c r="I505" s="156">
        <v>3022.79</v>
      </c>
      <c r="J505" s="156">
        <v>0</v>
      </c>
      <c r="K505" s="131">
        <f t="shared" si="74"/>
        <v>22377.260000000002</v>
      </c>
      <c r="L505" s="134">
        <v>0.1792</v>
      </c>
    </row>
    <row r="506" spans="3:12">
      <c r="C506" s="161">
        <f t="shared" si="72"/>
        <v>2018</v>
      </c>
      <c r="D506" s="35" t="s">
        <v>268</v>
      </c>
      <c r="E506" s="227">
        <v>43132</v>
      </c>
      <c r="F506" s="156">
        <v>531632.94999999995</v>
      </c>
      <c r="G506" s="131">
        <f t="shared" si="73"/>
        <v>95268.624639999995</v>
      </c>
      <c r="H506" s="156">
        <v>2102.48</v>
      </c>
      <c r="I506" s="156">
        <v>393.11</v>
      </c>
      <c r="J506" s="156" t="s">
        <v>267</v>
      </c>
      <c r="K506" s="131">
        <f t="shared" si="74"/>
        <v>2495.59</v>
      </c>
      <c r="L506" s="134">
        <v>0.1792</v>
      </c>
    </row>
    <row r="507" spans="3:12">
      <c r="C507" s="161">
        <f t="shared" si="72"/>
        <v>2018</v>
      </c>
      <c r="D507" s="35" t="s">
        <v>268</v>
      </c>
      <c r="E507" s="227">
        <v>43160</v>
      </c>
      <c r="F507" s="156">
        <v>498664.5</v>
      </c>
      <c r="G507" s="131">
        <f t="shared" si="73"/>
        <v>89360.678400000004</v>
      </c>
      <c r="H507" s="156">
        <v>203593.43</v>
      </c>
      <c r="I507" s="156">
        <v>3224.41</v>
      </c>
      <c r="J507" s="156">
        <v>0</v>
      </c>
      <c r="K507" s="131">
        <f t="shared" si="74"/>
        <v>206817.84</v>
      </c>
      <c r="L507" s="134">
        <v>0.1792</v>
      </c>
    </row>
    <row r="508" spans="3:12">
      <c r="C508" s="161">
        <f t="shared" si="72"/>
        <v>2018</v>
      </c>
      <c r="D508" s="35" t="s">
        <v>268</v>
      </c>
      <c r="E508" s="227">
        <v>43191</v>
      </c>
      <c r="F508" s="156">
        <v>537548.71</v>
      </c>
      <c r="G508" s="131">
        <f t="shared" si="73"/>
        <v>96328.728831999993</v>
      </c>
      <c r="H508" s="156">
        <v>33441.11</v>
      </c>
      <c r="I508" s="156">
        <v>6972.5</v>
      </c>
      <c r="J508" s="156">
        <v>0</v>
      </c>
      <c r="K508" s="131">
        <f t="shared" si="74"/>
        <v>40413.61</v>
      </c>
      <c r="L508" s="134">
        <v>0.1792</v>
      </c>
    </row>
    <row r="509" spans="3:12">
      <c r="C509" s="161">
        <f t="shared" si="72"/>
        <v>2018</v>
      </c>
      <c r="D509" s="35" t="s">
        <v>268</v>
      </c>
      <c r="E509" s="227">
        <v>43221</v>
      </c>
      <c r="F509" s="156">
        <v>537152.1</v>
      </c>
      <c r="G509" s="131">
        <f t="shared" si="73"/>
        <v>96257.656319999995</v>
      </c>
      <c r="H509" s="156">
        <v>3286.86</v>
      </c>
      <c r="I509" s="156">
        <v>0</v>
      </c>
      <c r="J509" s="156">
        <v>0</v>
      </c>
      <c r="K509" s="131">
        <f t="shared" si="74"/>
        <v>3286.86</v>
      </c>
      <c r="L509" s="134">
        <v>0.1792</v>
      </c>
    </row>
    <row r="510" spans="3:12">
      <c r="C510" s="161">
        <f t="shared" si="72"/>
        <v>2018</v>
      </c>
      <c r="D510" s="35" t="s">
        <v>268</v>
      </c>
      <c r="E510" s="227">
        <v>43252</v>
      </c>
      <c r="F510" s="156">
        <v>527613.56000000006</v>
      </c>
      <c r="G510" s="131">
        <f t="shared" si="73"/>
        <v>94548.349952000004</v>
      </c>
      <c r="H510" s="156">
        <v>4643.92</v>
      </c>
      <c r="I510" s="156">
        <v>0</v>
      </c>
      <c r="J510" s="156">
        <v>0</v>
      </c>
      <c r="K510" s="131">
        <f t="shared" si="74"/>
        <v>4643.92</v>
      </c>
      <c r="L510" s="134">
        <v>0.1792</v>
      </c>
    </row>
    <row r="511" spans="3:12">
      <c r="C511" s="161">
        <f t="shared" si="72"/>
        <v>2018</v>
      </c>
      <c r="D511" s="35" t="s">
        <v>268</v>
      </c>
      <c r="E511" s="227">
        <v>43282</v>
      </c>
      <c r="F511" s="156">
        <v>540342.02</v>
      </c>
      <c r="G511" s="131">
        <f t="shared" si="73"/>
        <v>96829.289984000003</v>
      </c>
      <c r="H511" s="156">
        <v>2494.79</v>
      </c>
      <c r="I511" s="156">
        <v>1786.12</v>
      </c>
      <c r="J511" s="156">
        <v>0</v>
      </c>
      <c r="K511" s="131">
        <f t="shared" si="74"/>
        <v>4280.91</v>
      </c>
      <c r="L511" s="134">
        <v>0.1792</v>
      </c>
    </row>
    <row r="512" spans="3:12">
      <c r="C512" s="161">
        <f t="shared" si="72"/>
        <v>2018</v>
      </c>
      <c r="D512" s="35" t="s">
        <v>268</v>
      </c>
      <c r="E512" s="227">
        <v>43313</v>
      </c>
      <c r="F512" s="156">
        <v>546196.78</v>
      </c>
      <c r="G512" s="131">
        <f t="shared" si="73"/>
        <v>97878.46297600001</v>
      </c>
      <c r="H512" s="156">
        <v>6895.53</v>
      </c>
      <c r="I512" s="156">
        <v>3051.37</v>
      </c>
      <c r="J512" s="156">
        <v>0</v>
      </c>
      <c r="K512" s="131">
        <f t="shared" si="74"/>
        <v>9946.9</v>
      </c>
      <c r="L512" s="134">
        <v>0.1792</v>
      </c>
    </row>
    <row r="513" spans="3:12">
      <c r="C513" s="161">
        <f t="shared" si="72"/>
        <v>2018</v>
      </c>
      <c r="D513" s="35" t="s">
        <v>268</v>
      </c>
      <c r="E513" s="227">
        <v>43344</v>
      </c>
      <c r="F513" s="156">
        <v>557208.38</v>
      </c>
      <c r="G513" s="131">
        <f t="shared" si="73"/>
        <v>99851.741695999997</v>
      </c>
      <c r="H513" s="156">
        <v>24041.46</v>
      </c>
      <c r="I513" s="156">
        <v>2244.4</v>
      </c>
      <c r="J513" s="156">
        <v>875.05</v>
      </c>
      <c r="K513" s="131">
        <f t="shared" si="74"/>
        <v>27160.91</v>
      </c>
      <c r="L513" s="134">
        <v>0.1792</v>
      </c>
    </row>
    <row r="514" spans="3:12">
      <c r="C514" s="161">
        <f t="shared" si="72"/>
        <v>2018</v>
      </c>
      <c r="D514" s="35" t="s">
        <v>268</v>
      </c>
      <c r="E514" s="227">
        <v>43374</v>
      </c>
      <c r="F514" s="156">
        <v>526944.18999999994</v>
      </c>
      <c r="G514" s="131">
        <f t="shared" si="73"/>
        <v>94428.398847999983</v>
      </c>
      <c r="H514" s="156">
        <v>5892.42</v>
      </c>
      <c r="I514" s="156">
        <v>0</v>
      </c>
      <c r="J514" s="156">
        <v>0</v>
      </c>
      <c r="K514" s="131">
        <f t="shared" si="74"/>
        <v>5892.42</v>
      </c>
      <c r="L514" s="134">
        <v>0.1792</v>
      </c>
    </row>
    <row r="515" spans="3:12">
      <c r="C515" s="161">
        <f t="shared" si="72"/>
        <v>2018</v>
      </c>
      <c r="D515" s="35" t="s">
        <v>268</v>
      </c>
      <c r="E515" s="227">
        <v>43405</v>
      </c>
      <c r="F515" s="156">
        <v>546050.21872500004</v>
      </c>
      <c r="G515" s="131">
        <f t="shared" si="73"/>
        <v>97852.199195520006</v>
      </c>
      <c r="H515" s="156">
        <v>11699.47</v>
      </c>
      <c r="I515" s="156">
        <v>47547.34</v>
      </c>
      <c r="J515" s="156">
        <v>43222.5</v>
      </c>
      <c r="K515" s="131">
        <f t="shared" si="74"/>
        <v>102469.31</v>
      </c>
      <c r="L515" s="134">
        <v>0.1792</v>
      </c>
    </row>
    <row r="516" spans="3:12">
      <c r="C516" s="161">
        <f t="shared" ref="C516:C579" si="75">YEAR(E516)</f>
        <v>2018</v>
      </c>
      <c r="D516" s="35" t="s">
        <v>268</v>
      </c>
      <c r="E516" s="227">
        <v>43435</v>
      </c>
      <c r="F516" s="156">
        <v>549244.47</v>
      </c>
      <c r="G516" s="131">
        <f t="shared" ref="G516:G579" si="76">F516*L516</f>
        <v>98424.60902399999</v>
      </c>
      <c r="H516" s="156">
        <v>1158.1500000000001</v>
      </c>
      <c r="I516" s="156">
        <v>2866.04</v>
      </c>
      <c r="J516" s="156">
        <v>0</v>
      </c>
      <c r="K516" s="131">
        <f t="shared" ref="K516:K579" si="77">SUM(H516:J516)</f>
        <v>4024.19</v>
      </c>
      <c r="L516" s="134">
        <v>0.1792</v>
      </c>
    </row>
    <row r="517" spans="3:12">
      <c r="C517" s="161">
        <f t="shared" si="75"/>
        <v>2019</v>
      </c>
      <c r="D517" s="35" t="s">
        <v>268</v>
      </c>
      <c r="E517" s="227">
        <v>43466</v>
      </c>
      <c r="F517" s="156">
        <v>548255.31999999995</v>
      </c>
      <c r="G517" s="131">
        <f t="shared" si="76"/>
        <v>98247.353343999988</v>
      </c>
      <c r="H517" s="156">
        <v>44756.160000000003</v>
      </c>
      <c r="I517" s="156">
        <v>9820.17</v>
      </c>
      <c r="J517" s="156">
        <v>0</v>
      </c>
      <c r="K517" s="131">
        <f t="shared" si="77"/>
        <v>54576.33</v>
      </c>
      <c r="L517" s="134">
        <v>0.1792</v>
      </c>
    </row>
    <row r="518" spans="3:12">
      <c r="C518" s="161">
        <f t="shared" si="75"/>
        <v>2019</v>
      </c>
      <c r="D518" s="35" t="s">
        <v>268</v>
      </c>
      <c r="E518" s="227">
        <v>43497</v>
      </c>
      <c r="F518" s="156">
        <v>543149.22</v>
      </c>
      <c r="G518" s="131">
        <f t="shared" si="76"/>
        <v>97332.340224</v>
      </c>
      <c r="H518" s="156">
        <v>14944.86</v>
      </c>
      <c r="I518" s="156">
        <v>17089.77</v>
      </c>
      <c r="J518" s="156">
        <v>0</v>
      </c>
      <c r="K518" s="131">
        <f t="shared" si="77"/>
        <v>32034.63</v>
      </c>
      <c r="L518" s="134">
        <v>0.1792</v>
      </c>
    </row>
    <row r="519" spans="3:12">
      <c r="C519" s="161">
        <f t="shared" si="75"/>
        <v>2019</v>
      </c>
      <c r="D519" s="35" t="s">
        <v>268</v>
      </c>
      <c r="E519" s="227">
        <v>43525</v>
      </c>
      <c r="F519" s="156">
        <v>493133.35</v>
      </c>
      <c r="G519" s="131">
        <f t="shared" si="76"/>
        <v>88369.496319999991</v>
      </c>
      <c r="H519" s="156">
        <v>12674.87</v>
      </c>
      <c r="I519" s="156">
        <v>248088.7</v>
      </c>
      <c r="J519" s="156">
        <v>0</v>
      </c>
      <c r="K519" s="131">
        <f t="shared" si="77"/>
        <v>260763.57</v>
      </c>
      <c r="L519" s="134">
        <v>0.1792</v>
      </c>
    </row>
    <row r="520" spans="3:12">
      <c r="C520" s="161">
        <f t="shared" si="75"/>
        <v>2019</v>
      </c>
      <c r="D520" s="35" t="s">
        <v>268</v>
      </c>
      <c r="E520" s="227">
        <v>43556</v>
      </c>
      <c r="F520" s="156">
        <v>550133.01</v>
      </c>
      <c r="G520" s="131">
        <f t="shared" si="76"/>
        <v>98583.835391999994</v>
      </c>
      <c r="H520" s="156">
        <v>19741.37</v>
      </c>
      <c r="I520" s="156">
        <v>13233.97</v>
      </c>
      <c r="J520" s="156">
        <v>523.75</v>
      </c>
      <c r="K520" s="131">
        <f t="shared" si="77"/>
        <v>33499.089999999997</v>
      </c>
      <c r="L520" s="134">
        <v>0.1792</v>
      </c>
    </row>
    <row r="521" spans="3:12">
      <c r="C521" s="161">
        <f t="shared" si="75"/>
        <v>2019</v>
      </c>
      <c r="D521" s="35" t="s">
        <v>268</v>
      </c>
      <c r="E521" s="227">
        <v>43586</v>
      </c>
      <c r="F521" s="156">
        <v>531211.85</v>
      </c>
      <c r="G521" s="131">
        <f t="shared" si="76"/>
        <v>95193.163520000002</v>
      </c>
      <c r="H521" s="156">
        <v>9835.7999999999993</v>
      </c>
      <c r="I521" s="156">
        <v>774594.13</v>
      </c>
      <c r="J521" s="156">
        <v>0</v>
      </c>
      <c r="K521" s="131">
        <f t="shared" si="77"/>
        <v>784429.93</v>
      </c>
      <c r="L521" s="134">
        <v>0.1792</v>
      </c>
    </row>
    <row r="522" spans="3:12">
      <c r="C522" s="161">
        <f t="shared" si="75"/>
        <v>2019</v>
      </c>
      <c r="D522" s="35" t="s">
        <v>268</v>
      </c>
      <c r="E522" s="227">
        <v>43617</v>
      </c>
      <c r="F522" s="156">
        <v>517099.41</v>
      </c>
      <c r="G522" s="131">
        <f t="shared" si="76"/>
        <v>92664.214271999997</v>
      </c>
      <c r="H522" s="156">
        <v>160970.15</v>
      </c>
      <c r="I522" s="156">
        <v>32536.52</v>
      </c>
      <c r="J522" s="156">
        <v>0</v>
      </c>
      <c r="K522" s="131">
        <f t="shared" si="77"/>
        <v>193506.66999999998</v>
      </c>
      <c r="L522" s="134">
        <v>0.1792</v>
      </c>
    </row>
    <row r="523" spans="3:12">
      <c r="C523" s="161">
        <f t="shared" si="75"/>
        <v>2019</v>
      </c>
      <c r="D523" s="35" t="s">
        <v>268</v>
      </c>
      <c r="E523" s="227">
        <v>43647</v>
      </c>
      <c r="F523" s="156">
        <v>543403.01</v>
      </c>
      <c r="G523" s="131">
        <f t="shared" si="76"/>
        <v>97377.819392000005</v>
      </c>
      <c r="H523" s="156">
        <v>4249.3999999999996</v>
      </c>
      <c r="I523" s="156">
        <v>2141.84</v>
      </c>
      <c r="J523" s="156">
        <v>0</v>
      </c>
      <c r="K523" s="131">
        <f t="shared" si="77"/>
        <v>6391.24</v>
      </c>
      <c r="L523" s="134">
        <v>0.1792</v>
      </c>
    </row>
    <row r="524" spans="3:12">
      <c r="C524" s="161">
        <f t="shared" si="75"/>
        <v>2019</v>
      </c>
      <c r="D524" s="35" t="s">
        <v>268</v>
      </c>
      <c r="E524" s="227">
        <v>43678</v>
      </c>
      <c r="F524" s="156">
        <v>543767.09</v>
      </c>
      <c r="G524" s="131">
        <f t="shared" si="76"/>
        <v>97443.062527999995</v>
      </c>
      <c r="H524" s="156">
        <v>4839.2700000000004</v>
      </c>
      <c r="I524" s="156">
        <v>1388.15</v>
      </c>
      <c r="J524" s="156">
        <v>0</v>
      </c>
      <c r="K524" s="131">
        <f t="shared" si="77"/>
        <v>6227.42</v>
      </c>
      <c r="L524" s="134">
        <v>0.1792</v>
      </c>
    </row>
    <row r="525" spans="3:12">
      <c r="C525" s="161">
        <f t="shared" si="75"/>
        <v>2019</v>
      </c>
      <c r="D525" s="35" t="s">
        <v>268</v>
      </c>
      <c r="E525" s="227">
        <v>43709</v>
      </c>
      <c r="F525" s="156">
        <v>605799.22</v>
      </c>
      <c r="G525" s="131">
        <f t="shared" si="76"/>
        <v>108559.22022399999</v>
      </c>
      <c r="H525" s="156">
        <v>4508.5200000000004</v>
      </c>
      <c r="I525" s="156">
        <v>367756.03</v>
      </c>
      <c r="J525" s="156">
        <v>0</v>
      </c>
      <c r="K525" s="131">
        <f t="shared" si="77"/>
        <v>372264.55000000005</v>
      </c>
      <c r="L525" s="134">
        <v>0.1792</v>
      </c>
    </row>
    <row r="526" spans="3:12">
      <c r="C526" s="161">
        <f t="shared" si="75"/>
        <v>2019</v>
      </c>
      <c r="D526" s="35" t="s">
        <v>268</v>
      </c>
      <c r="E526" s="227">
        <v>43739</v>
      </c>
      <c r="F526" s="156">
        <v>597683.29</v>
      </c>
      <c r="G526" s="131">
        <f t="shared" si="76"/>
        <v>107104.845568</v>
      </c>
      <c r="H526" s="156">
        <v>3016.21</v>
      </c>
      <c r="I526" s="156">
        <v>1637.58</v>
      </c>
      <c r="J526" s="156">
        <v>0</v>
      </c>
      <c r="K526" s="131">
        <f t="shared" si="77"/>
        <v>4653.79</v>
      </c>
      <c r="L526" s="134">
        <v>0.1792</v>
      </c>
    </row>
    <row r="527" spans="3:12">
      <c r="C527" s="161">
        <f t="shared" si="75"/>
        <v>2019</v>
      </c>
      <c r="D527" s="35" t="s">
        <v>268</v>
      </c>
      <c r="E527" s="227">
        <v>43770</v>
      </c>
      <c r="F527" s="156">
        <v>591354.66</v>
      </c>
      <c r="G527" s="131">
        <f t="shared" si="76"/>
        <v>105970.755072</v>
      </c>
      <c r="H527" s="156">
        <v>2583.5500000000002</v>
      </c>
      <c r="I527" s="156">
        <v>93747.06</v>
      </c>
      <c r="J527" s="156">
        <v>0</v>
      </c>
      <c r="K527" s="131">
        <f t="shared" si="77"/>
        <v>96330.61</v>
      </c>
      <c r="L527" s="134">
        <v>0.1792</v>
      </c>
    </row>
    <row r="528" spans="3:12">
      <c r="C528" s="161">
        <f t="shared" si="75"/>
        <v>2019</v>
      </c>
      <c r="D528" s="35" t="s">
        <v>268</v>
      </c>
      <c r="E528" s="227">
        <v>43800</v>
      </c>
      <c r="F528" s="156">
        <v>564773.82999999996</v>
      </c>
      <c r="G528" s="131">
        <f t="shared" si="76"/>
        <v>101207.470336</v>
      </c>
      <c r="H528" s="156">
        <v>2751.31</v>
      </c>
      <c r="I528" s="156">
        <v>367756.03</v>
      </c>
      <c r="J528" s="156">
        <v>0</v>
      </c>
      <c r="K528" s="131">
        <f t="shared" si="77"/>
        <v>370507.34</v>
      </c>
      <c r="L528" s="134">
        <v>0.1792</v>
      </c>
    </row>
    <row r="529" spans="3:12">
      <c r="C529" s="161">
        <f t="shared" si="75"/>
        <v>2020</v>
      </c>
      <c r="D529" s="35" t="s">
        <v>268</v>
      </c>
      <c r="E529" s="227">
        <v>43831</v>
      </c>
      <c r="F529" s="156">
        <v>585216.31000000006</v>
      </c>
      <c r="G529" s="131">
        <f t="shared" si="76"/>
        <v>104870.76275200001</v>
      </c>
      <c r="H529" s="156">
        <v>3779.6</v>
      </c>
      <c r="I529" s="156">
        <v>551536.46</v>
      </c>
      <c r="J529" s="156">
        <v>0</v>
      </c>
      <c r="K529" s="131">
        <f t="shared" si="77"/>
        <v>555316.05999999994</v>
      </c>
      <c r="L529" s="134">
        <v>0.1792</v>
      </c>
    </row>
    <row r="530" spans="3:12">
      <c r="C530" s="161">
        <f t="shared" si="75"/>
        <v>2020</v>
      </c>
      <c r="D530" s="35" t="s">
        <v>268</v>
      </c>
      <c r="E530" s="227">
        <v>43862</v>
      </c>
      <c r="F530" s="156">
        <v>597921.06999999995</v>
      </c>
      <c r="G530" s="131">
        <f t="shared" si="76"/>
        <v>107147.45574399999</v>
      </c>
      <c r="H530" s="156">
        <v>2669.61</v>
      </c>
      <c r="I530" s="156">
        <v>0</v>
      </c>
      <c r="J530" s="156">
        <v>0</v>
      </c>
      <c r="K530" s="131">
        <f t="shared" si="77"/>
        <v>2669.61</v>
      </c>
      <c r="L530" s="134">
        <v>0.1792</v>
      </c>
    </row>
    <row r="531" spans="3:12">
      <c r="C531" s="161">
        <f t="shared" si="75"/>
        <v>2020</v>
      </c>
      <c r="D531" s="35" t="s">
        <v>268</v>
      </c>
      <c r="E531" s="227">
        <v>43891</v>
      </c>
      <c r="F531" s="156">
        <v>585974.96429999999</v>
      </c>
      <c r="G531" s="131">
        <f t="shared" si="76"/>
        <v>105006.71360256</v>
      </c>
      <c r="H531" s="156">
        <v>1198.49</v>
      </c>
      <c r="I531" s="156">
        <v>29064.03</v>
      </c>
      <c r="J531" s="156">
        <v>0</v>
      </c>
      <c r="K531" s="131">
        <f t="shared" si="77"/>
        <v>30262.52</v>
      </c>
      <c r="L531" s="134">
        <v>0.1792</v>
      </c>
    </row>
    <row r="532" spans="3:12">
      <c r="C532" s="161">
        <f t="shared" si="75"/>
        <v>2020</v>
      </c>
      <c r="D532" s="35" t="s">
        <v>268</v>
      </c>
      <c r="E532" s="227">
        <v>43922</v>
      </c>
      <c r="F532" s="156">
        <v>636931.94235000003</v>
      </c>
      <c r="G532" s="131">
        <f t="shared" si="76"/>
        <v>114138.20406912001</v>
      </c>
      <c r="H532" s="156">
        <v>3217.98</v>
      </c>
      <c r="I532" s="156">
        <v>0</v>
      </c>
      <c r="J532" s="156">
        <v>0</v>
      </c>
      <c r="K532" s="131">
        <f t="shared" si="77"/>
        <v>3217.98</v>
      </c>
      <c r="L532" s="134">
        <v>0.1792</v>
      </c>
    </row>
    <row r="533" spans="3:12">
      <c r="C533" s="161">
        <f t="shared" si="75"/>
        <v>2020</v>
      </c>
      <c r="D533" s="35" t="s">
        <v>268</v>
      </c>
      <c r="E533" s="227">
        <v>43952</v>
      </c>
      <c r="F533" s="156">
        <v>603224.1</v>
      </c>
      <c r="G533" s="131">
        <f t="shared" si="76"/>
        <v>108097.75872</v>
      </c>
      <c r="H533" s="156">
        <v>3076.39</v>
      </c>
      <c r="I533" s="156">
        <v>0</v>
      </c>
      <c r="J533" s="156">
        <v>0</v>
      </c>
      <c r="K533" s="131">
        <f t="shared" si="77"/>
        <v>3076.39</v>
      </c>
      <c r="L533" s="134">
        <v>0.1792</v>
      </c>
    </row>
    <row r="534" spans="3:12">
      <c r="C534" s="161">
        <f t="shared" si="75"/>
        <v>2020</v>
      </c>
      <c r="D534" s="35" t="s">
        <v>268</v>
      </c>
      <c r="E534" s="227">
        <v>43983</v>
      </c>
      <c r="F534" s="156">
        <v>571916</v>
      </c>
      <c r="G534" s="131">
        <f t="shared" si="76"/>
        <v>102487.3472</v>
      </c>
      <c r="H534" s="156">
        <v>29053.35</v>
      </c>
      <c r="I534" s="156">
        <v>1816.55</v>
      </c>
      <c r="J534" s="156">
        <v>0</v>
      </c>
      <c r="K534" s="131">
        <f t="shared" si="77"/>
        <v>30869.899999999998</v>
      </c>
      <c r="L534" s="134">
        <v>0.1792</v>
      </c>
    </row>
    <row r="535" spans="3:12">
      <c r="C535" s="161">
        <f t="shared" si="75"/>
        <v>2020</v>
      </c>
      <c r="D535" s="35" t="s">
        <v>268</v>
      </c>
      <c r="E535" s="227">
        <v>44013</v>
      </c>
      <c r="F535" s="156">
        <v>594419.78</v>
      </c>
      <c r="G535" s="131">
        <f t="shared" si="76"/>
        <v>106520.02457600001</v>
      </c>
      <c r="H535" s="156">
        <v>4437.91</v>
      </c>
      <c r="I535" s="156">
        <v>-8763.9699999999993</v>
      </c>
      <c r="J535" s="156">
        <v>0</v>
      </c>
      <c r="K535" s="131">
        <f t="shared" si="77"/>
        <v>-4326.0599999999995</v>
      </c>
      <c r="L535" s="134">
        <v>0.1792</v>
      </c>
    </row>
    <row r="536" spans="3:12">
      <c r="C536" s="161">
        <f t="shared" si="75"/>
        <v>2020</v>
      </c>
      <c r="D536" s="35" t="s">
        <v>268</v>
      </c>
      <c r="E536" s="227">
        <v>44044</v>
      </c>
      <c r="F536" s="156">
        <v>630571.49</v>
      </c>
      <c r="G536" s="131">
        <f t="shared" si="76"/>
        <v>112998.411008</v>
      </c>
      <c r="H536" s="156">
        <v>352185.77</v>
      </c>
      <c r="I536" s="156">
        <v>52701.440000000002</v>
      </c>
      <c r="J536" s="156">
        <v>0</v>
      </c>
      <c r="K536" s="131">
        <f t="shared" si="77"/>
        <v>404887.21</v>
      </c>
      <c r="L536" s="134">
        <v>0.1792</v>
      </c>
    </row>
    <row r="537" spans="3:12">
      <c r="C537" s="161">
        <f t="shared" si="75"/>
        <v>2020</v>
      </c>
      <c r="D537" s="35" t="s">
        <v>268</v>
      </c>
      <c r="E537" s="227">
        <v>44075</v>
      </c>
      <c r="F537" s="156">
        <v>685661.01</v>
      </c>
      <c r="G537" s="131">
        <f t="shared" si="76"/>
        <v>122870.45299200001</v>
      </c>
      <c r="H537" s="156">
        <v>123001.21</v>
      </c>
      <c r="I537" s="156">
        <v>0</v>
      </c>
      <c r="J537" s="156">
        <v>0</v>
      </c>
      <c r="K537" s="131">
        <f t="shared" si="77"/>
        <v>123001.21</v>
      </c>
      <c r="L537" s="134">
        <v>0.1792</v>
      </c>
    </row>
    <row r="538" spans="3:12">
      <c r="C538" s="161">
        <f t="shared" si="75"/>
        <v>2020</v>
      </c>
      <c r="D538" s="35" t="s">
        <v>268</v>
      </c>
      <c r="E538" s="227">
        <v>44105</v>
      </c>
      <c r="F538" s="156">
        <v>742526.69</v>
      </c>
      <c r="G538" s="131">
        <f t="shared" si="76"/>
        <v>133060.782848</v>
      </c>
      <c r="H538" s="156">
        <v>92184.24</v>
      </c>
      <c r="I538" s="156">
        <v>1978.55</v>
      </c>
      <c r="J538" s="156">
        <v>0</v>
      </c>
      <c r="K538" s="131">
        <f t="shared" si="77"/>
        <v>94162.790000000008</v>
      </c>
      <c r="L538" s="134">
        <v>0.1792</v>
      </c>
    </row>
    <row r="539" spans="3:12">
      <c r="C539" s="161">
        <f t="shared" si="75"/>
        <v>2020</v>
      </c>
      <c r="D539" s="35" t="s">
        <v>268</v>
      </c>
      <c r="E539" s="227">
        <v>44136</v>
      </c>
      <c r="F539" s="156">
        <v>709104.27</v>
      </c>
      <c r="G539" s="131">
        <f t="shared" si="76"/>
        <v>127071.485184</v>
      </c>
      <c r="H539" s="156">
        <v>307841.5</v>
      </c>
      <c r="I539" s="156">
        <v>1564.49</v>
      </c>
      <c r="J539" s="156">
        <v>0</v>
      </c>
      <c r="K539" s="131">
        <f t="shared" si="77"/>
        <v>309405.99</v>
      </c>
      <c r="L539" s="134">
        <v>0.1792</v>
      </c>
    </row>
    <row r="540" spans="3:12">
      <c r="C540" s="161">
        <f t="shared" si="75"/>
        <v>2020</v>
      </c>
      <c r="D540" s="35" t="s">
        <v>268</v>
      </c>
      <c r="E540" s="227">
        <v>44166</v>
      </c>
      <c r="F540" s="156">
        <v>673637.3</v>
      </c>
      <c r="G540" s="131">
        <f t="shared" si="76"/>
        <v>120715.80416000001</v>
      </c>
      <c r="H540" s="156">
        <v>125910.43</v>
      </c>
      <c r="I540" s="156">
        <v>2110.2199999999998</v>
      </c>
      <c r="J540" s="156">
        <v>0</v>
      </c>
      <c r="K540" s="131">
        <f t="shared" si="77"/>
        <v>128020.65</v>
      </c>
      <c r="L540" s="134">
        <v>0.1792</v>
      </c>
    </row>
    <row r="541" spans="3:12">
      <c r="C541" s="161">
        <f t="shared" si="75"/>
        <v>2021</v>
      </c>
      <c r="D541" s="35" t="s">
        <v>268</v>
      </c>
      <c r="E541" s="227">
        <v>44197</v>
      </c>
      <c r="F541" s="156">
        <v>686395.75</v>
      </c>
      <c r="G541" s="131">
        <f t="shared" si="76"/>
        <v>123002.11839999999</v>
      </c>
      <c r="H541" s="156">
        <v>6618.06</v>
      </c>
      <c r="I541" s="156">
        <v>537.03</v>
      </c>
      <c r="J541" s="156">
        <v>0</v>
      </c>
      <c r="K541" s="131">
        <f t="shared" si="77"/>
        <v>7155.09</v>
      </c>
      <c r="L541" s="134">
        <v>0.1792</v>
      </c>
    </row>
    <row r="542" spans="3:12">
      <c r="C542" s="161">
        <f t="shared" si="75"/>
        <v>2021</v>
      </c>
      <c r="D542" s="35" t="s">
        <v>268</v>
      </c>
      <c r="E542" s="227">
        <v>44229</v>
      </c>
      <c r="F542" s="156">
        <v>669397.85</v>
      </c>
      <c r="G542" s="131">
        <f t="shared" si="76"/>
        <v>119956.09471999999</v>
      </c>
      <c r="H542" s="156">
        <v>64686.7</v>
      </c>
      <c r="I542" s="156">
        <v>1173.47</v>
      </c>
      <c r="J542" s="156">
        <v>0</v>
      </c>
      <c r="K542" s="131">
        <f t="shared" si="77"/>
        <v>65860.17</v>
      </c>
      <c r="L542" s="134">
        <v>0.1792</v>
      </c>
    </row>
    <row r="543" spans="3:12">
      <c r="C543" s="161">
        <f t="shared" si="75"/>
        <v>2021</v>
      </c>
      <c r="D543" s="35" t="s">
        <v>268</v>
      </c>
      <c r="E543" s="227">
        <v>44258</v>
      </c>
      <c r="F543" s="156">
        <v>610266.96</v>
      </c>
      <c r="G543" s="131">
        <f t="shared" si="76"/>
        <v>109359.839232</v>
      </c>
      <c r="H543" s="156">
        <v>16024.46</v>
      </c>
      <c r="I543" s="156">
        <v>608.77</v>
      </c>
      <c r="J543" s="156">
        <v>345.28</v>
      </c>
      <c r="K543" s="131">
        <f t="shared" si="77"/>
        <v>16978.509999999998</v>
      </c>
      <c r="L543" s="134">
        <v>0.1792</v>
      </c>
    </row>
    <row r="544" spans="3:12">
      <c r="C544" s="161">
        <f t="shared" si="75"/>
        <v>2021</v>
      </c>
      <c r="D544" s="35" t="s">
        <v>268</v>
      </c>
      <c r="E544" s="227">
        <v>44290</v>
      </c>
      <c r="F544" s="156">
        <v>681704.46</v>
      </c>
      <c r="G544" s="131">
        <f t="shared" si="76"/>
        <v>122161.43923199999</v>
      </c>
      <c r="H544" s="156">
        <v>14940.38</v>
      </c>
      <c r="I544" s="156">
        <v>0</v>
      </c>
      <c r="J544" s="156">
        <v>0</v>
      </c>
      <c r="K544" s="131">
        <f t="shared" si="77"/>
        <v>14940.38</v>
      </c>
      <c r="L544" s="134">
        <v>0.1792</v>
      </c>
    </row>
    <row r="545" spans="3:12">
      <c r="C545" s="161">
        <f t="shared" si="75"/>
        <v>2021</v>
      </c>
      <c r="D545" s="35" t="s">
        <v>268</v>
      </c>
      <c r="E545" s="227">
        <v>44321</v>
      </c>
      <c r="F545" s="156">
        <v>665880.06999999995</v>
      </c>
      <c r="G545" s="131">
        <f t="shared" si="76"/>
        <v>119325.70854399999</v>
      </c>
      <c r="H545" s="156">
        <v>2281.4499999999998</v>
      </c>
      <c r="I545" s="156">
        <v>0</v>
      </c>
      <c r="J545" s="156">
        <v>0</v>
      </c>
      <c r="K545" s="131">
        <f t="shared" si="77"/>
        <v>2281.4499999999998</v>
      </c>
      <c r="L545" s="134">
        <v>0.1792</v>
      </c>
    </row>
    <row r="546" spans="3:12">
      <c r="C546" s="161">
        <f t="shared" si="75"/>
        <v>2021</v>
      </c>
      <c r="D546" s="35" t="s">
        <v>268</v>
      </c>
      <c r="E546" s="227">
        <v>44353</v>
      </c>
      <c r="F546" s="156">
        <v>667997.07999999996</v>
      </c>
      <c r="G546" s="131">
        <f t="shared" si="76"/>
        <v>119705.07673599999</v>
      </c>
      <c r="H546" s="156">
        <v>20149.21</v>
      </c>
      <c r="I546" s="156">
        <v>0</v>
      </c>
      <c r="J546" s="156">
        <v>0</v>
      </c>
      <c r="K546" s="131">
        <f t="shared" si="77"/>
        <v>20149.21</v>
      </c>
      <c r="L546" s="134">
        <v>0.1792</v>
      </c>
    </row>
    <row r="547" spans="3:12">
      <c r="C547" s="161">
        <f t="shared" si="75"/>
        <v>2015</v>
      </c>
      <c r="D547" s="35" t="s">
        <v>269</v>
      </c>
      <c r="E547" s="227">
        <v>42309</v>
      </c>
      <c r="F547" s="156">
        <v>1266099.54</v>
      </c>
      <c r="G547" s="131">
        <f t="shared" si="76"/>
        <v>226885.037568</v>
      </c>
      <c r="H547" s="156">
        <v>6750.52</v>
      </c>
      <c r="I547" s="156">
        <v>3655.93</v>
      </c>
      <c r="J547" s="156">
        <v>0</v>
      </c>
      <c r="K547" s="131">
        <f t="shared" si="77"/>
        <v>10406.450000000001</v>
      </c>
      <c r="L547" s="134">
        <v>0.1792</v>
      </c>
    </row>
    <row r="548" spans="3:12">
      <c r="C548" s="161">
        <f t="shared" si="75"/>
        <v>2015</v>
      </c>
      <c r="D548" s="35" t="s">
        <v>269</v>
      </c>
      <c r="E548" s="227">
        <v>42339</v>
      </c>
      <c r="F548" s="156">
        <v>899939.89</v>
      </c>
      <c r="G548" s="131">
        <f t="shared" si="76"/>
        <v>161269.22828800001</v>
      </c>
      <c r="H548" s="156">
        <v>10788.35</v>
      </c>
      <c r="I548" s="156">
        <v>9706.7800000000007</v>
      </c>
      <c r="J548" s="156">
        <v>0</v>
      </c>
      <c r="K548" s="131">
        <f t="shared" si="77"/>
        <v>20495.13</v>
      </c>
      <c r="L548" s="134">
        <v>0.1792</v>
      </c>
    </row>
    <row r="549" spans="3:12">
      <c r="C549" s="161">
        <f t="shared" si="75"/>
        <v>2016</v>
      </c>
      <c r="D549" s="35" t="s">
        <v>269</v>
      </c>
      <c r="E549" s="227">
        <v>42370</v>
      </c>
      <c r="F549" s="156">
        <v>928956.19</v>
      </c>
      <c r="G549" s="131">
        <f t="shared" si="76"/>
        <v>166468.94924799999</v>
      </c>
      <c r="H549" s="156">
        <v>5892.13</v>
      </c>
      <c r="I549" s="156">
        <v>0</v>
      </c>
      <c r="J549" s="156">
        <v>0</v>
      </c>
      <c r="K549" s="131">
        <f t="shared" si="77"/>
        <v>5892.13</v>
      </c>
      <c r="L549" s="134">
        <v>0.1792</v>
      </c>
    </row>
    <row r="550" spans="3:12">
      <c r="C550" s="161">
        <f t="shared" si="75"/>
        <v>2016</v>
      </c>
      <c r="D550" s="35" t="s">
        <v>269</v>
      </c>
      <c r="E550" s="227">
        <v>42401</v>
      </c>
      <c r="F550" s="156">
        <v>920584.58</v>
      </c>
      <c r="G550" s="131">
        <f t="shared" si="76"/>
        <v>164968.75673599998</v>
      </c>
      <c r="H550" s="156">
        <v>4343.71</v>
      </c>
      <c r="I550" s="156">
        <v>0</v>
      </c>
      <c r="J550" s="156">
        <v>0</v>
      </c>
      <c r="K550" s="131">
        <f t="shared" si="77"/>
        <v>4343.71</v>
      </c>
      <c r="L550" s="134">
        <v>0.1792</v>
      </c>
    </row>
    <row r="551" spans="3:12">
      <c r="C551" s="161">
        <f t="shared" si="75"/>
        <v>2016</v>
      </c>
      <c r="D551" s="35" t="s">
        <v>269</v>
      </c>
      <c r="E551" s="227">
        <v>42430</v>
      </c>
      <c r="F551" s="156">
        <v>851878.34</v>
      </c>
      <c r="G551" s="131">
        <f t="shared" si="76"/>
        <v>152656.598528</v>
      </c>
      <c r="H551" s="156">
        <v>86799.01</v>
      </c>
      <c r="I551" s="156">
        <v>2505.17</v>
      </c>
      <c r="J551" s="156">
        <v>0</v>
      </c>
      <c r="K551" s="131">
        <f t="shared" si="77"/>
        <v>89304.18</v>
      </c>
      <c r="L551" s="134">
        <v>0.1792</v>
      </c>
    </row>
    <row r="552" spans="3:12">
      <c r="C552" s="161">
        <f t="shared" si="75"/>
        <v>2016</v>
      </c>
      <c r="D552" s="35" t="s">
        <v>269</v>
      </c>
      <c r="E552" s="227">
        <v>42461</v>
      </c>
      <c r="F552" s="156">
        <v>953563.47</v>
      </c>
      <c r="G552" s="131">
        <f t="shared" si="76"/>
        <v>170878.57382399999</v>
      </c>
      <c r="H552" s="156">
        <v>6823.47</v>
      </c>
      <c r="I552" s="156">
        <v>2104.81</v>
      </c>
      <c r="J552" s="156">
        <v>0</v>
      </c>
      <c r="K552" s="131">
        <f t="shared" si="77"/>
        <v>8928.2800000000007</v>
      </c>
      <c r="L552" s="134">
        <v>0.1792</v>
      </c>
    </row>
    <row r="553" spans="3:12">
      <c r="C553" s="161">
        <f t="shared" si="75"/>
        <v>2016</v>
      </c>
      <c r="D553" s="35" t="s">
        <v>269</v>
      </c>
      <c r="E553" s="227">
        <v>42491</v>
      </c>
      <c r="F553" s="156">
        <v>867089.91</v>
      </c>
      <c r="G553" s="131">
        <f t="shared" si="76"/>
        <v>155382.511872</v>
      </c>
      <c r="H553" s="156">
        <v>3709.91</v>
      </c>
      <c r="I553" s="156">
        <v>4720.72</v>
      </c>
      <c r="J553" s="156">
        <v>88599.74</v>
      </c>
      <c r="K553" s="131">
        <f t="shared" si="77"/>
        <v>97030.37000000001</v>
      </c>
      <c r="L553" s="134">
        <v>0.1792</v>
      </c>
    </row>
    <row r="554" spans="3:12">
      <c r="C554" s="161">
        <f t="shared" si="75"/>
        <v>2016</v>
      </c>
      <c r="D554" s="35" t="s">
        <v>269</v>
      </c>
      <c r="E554" s="227">
        <v>42522</v>
      </c>
      <c r="F554" s="156">
        <v>834144.71</v>
      </c>
      <c r="G554" s="131">
        <f t="shared" si="76"/>
        <v>149478.732032</v>
      </c>
      <c r="H554" s="156">
        <v>7084.5</v>
      </c>
      <c r="I554" s="156">
        <v>0</v>
      </c>
      <c r="J554" s="156">
        <v>54008.93</v>
      </c>
      <c r="K554" s="131">
        <f t="shared" si="77"/>
        <v>61093.43</v>
      </c>
      <c r="L554" s="134">
        <v>0.1792</v>
      </c>
    </row>
    <row r="555" spans="3:12">
      <c r="C555" s="161">
        <f t="shared" si="75"/>
        <v>2016</v>
      </c>
      <c r="D555" s="35" t="s">
        <v>269</v>
      </c>
      <c r="E555" s="227">
        <v>42552</v>
      </c>
      <c r="F555" s="156">
        <v>949117</v>
      </c>
      <c r="G555" s="131">
        <f t="shared" si="76"/>
        <v>170081.76639999999</v>
      </c>
      <c r="H555" s="156">
        <v>13814.12</v>
      </c>
      <c r="I555" s="156">
        <v>3496.13</v>
      </c>
      <c r="J555" s="156">
        <v>8000</v>
      </c>
      <c r="K555" s="131">
        <f t="shared" si="77"/>
        <v>25310.25</v>
      </c>
      <c r="L555" s="134">
        <v>0.1792</v>
      </c>
    </row>
    <row r="556" spans="3:12">
      <c r="C556" s="161">
        <f t="shared" si="75"/>
        <v>2016</v>
      </c>
      <c r="D556" s="35" t="s">
        <v>269</v>
      </c>
      <c r="E556" s="227">
        <v>42583</v>
      </c>
      <c r="F556" s="156">
        <v>987147.45</v>
      </c>
      <c r="G556" s="131">
        <f t="shared" si="76"/>
        <v>176896.82303999999</v>
      </c>
      <c r="H556" s="156">
        <v>23368.59</v>
      </c>
      <c r="I556" s="156">
        <v>38822.83</v>
      </c>
      <c r="J556" s="156">
        <v>0</v>
      </c>
      <c r="K556" s="131">
        <f t="shared" si="77"/>
        <v>62191.42</v>
      </c>
      <c r="L556" s="134">
        <v>0.1792</v>
      </c>
    </row>
    <row r="557" spans="3:12">
      <c r="C557" s="161">
        <f t="shared" si="75"/>
        <v>2016</v>
      </c>
      <c r="D557" s="35" t="s">
        <v>269</v>
      </c>
      <c r="E557" s="227">
        <v>42614</v>
      </c>
      <c r="F557" s="156">
        <v>942737.5</v>
      </c>
      <c r="G557" s="131">
        <f t="shared" si="76"/>
        <v>168938.56</v>
      </c>
      <c r="H557" s="156">
        <v>17162.189999999999</v>
      </c>
      <c r="I557" s="156">
        <v>0</v>
      </c>
      <c r="J557" s="156">
        <v>0</v>
      </c>
      <c r="K557" s="131">
        <f t="shared" si="77"/>
        <v>17162.189999999999</v>
      </c>
      <c r="L557" s="134">
        <v>0.1792</v>
      </c>
    </row>
    <row r="558" spans="3:12">
      <c r="C558" s="161">
        <f t="shared" si="75"/>
        <v>2016</v>
      </c>
      <c r="D558" s="35" t="s">
        <v>269</v>
      </c>
      <c r="E558" s="227">
        <v>42644</v>
      </c>
      <c r="F558" s="156">
        <v>1029569.34</v>
      </c>
      <c r="G558" s="131">
        <f t="shared" si="76"/>
        <v>184498.825728</v>
      </c>
      <c r="H558" s="156">
        <v>44452.800000000003</v>
      </c>
      <c r="I558" s="156">
        <v>0</v>
      </c>
      <c r="J558" s="156">
        <v>19117</v>
      </c>
      <c r="K558" s="131">
        <f t="shared" si="77"/>
        <v>63569.8</v>
      </c>
      <c r="L558" s="134">
        <v>0.1792</v>
      </c>
    </row>
    <row r="559" spans="3:12">
      <c r="C559" s="161">
        <f t="shared" si="75"/>
        <v>2016</v>
      </c>
      <c r="D559" s="35" t="s">
        <v>269</v>
      </c>
      <c r="E559" s="227">
        <v>42675</v>
      </c>
      <c r="F559" s="156">
        <v>1089361.07</v>
      </c>
      <c r="G559" s="131">
        <f t="shared" si="76"/>
        <v>195213.50374400002</v>
      </c>
      <c r="H559" s="156">
        <v>14637.57</v>
      </c>
      <c r="I559" s="156">
        <v>0</v>
      </c>
      <c r="J559" s="156">
        <v>2523.3200000000002</v>
      </c>
      <c r="K559" s="131">
        <f t="shared" si="77"/>
        <v>17160.89</v>
      </c>
      <c r="L559" s="134">
        <v>0.1792</v>
      </c>
    </row>
    <row r="560" spans="3:12">
      <c r="C560" s="161">
        <f t="shared" si="75"/>
        <v>2016</v>
      </c>
      <c r="D560" s="35" t="s">
        <v>269</v>
      </c>
      <c r="E560" s="227">
        <v>42705</v>
      </c>
      <c r="F560" s="156">
        <v>1025067.64</v>
      </c>
      <c r="G560" s="131">
        <f t="shared" si="76"/>
        <v>183692.12108800001</v>
      </c>
      <c r="H560" s="156">
        <v>18263.55</v>
      </c>
      <c r="I560" s="156">
        <v>270.92</v>
      </c>
      <c r="J560" s="156">
        <v>13847.4</v>
      </c>
      <c r="K560" s="131">
        <f t="shared" si="77"/>
        <v>32381.869999999995</v>
      </c>
      <c r="L560" s="134">
        <v>0.1792</v>
      </c>
    </row>
    <row r="561" spans="3:12">
      <c r="C561" s="161">
        <f t="shared" si="75"/>
        <v>2017</v>
      </c>
      <c r="D561" s="35" t="s">
        <v>269</v>
      </c>
      <c r="E561" s="227">
        <v>42736</v>
      </c>
      <c r="F561" s="156">
        <v>1088720.45</v>
      </c>
      <c r="G561" s="131">
        <f t="shared" si="76"/>
        <v>195098.70463999998</v>
      </c>
      <c r="H561" s="156">
        <v>15042.78</v>
      </c>
      <c r="I561" s="156">
        <v>266900.84999999998</v>
      </c>
      <c r="J561" s="156">
        <v>3942.02</v>
      </c>
      <c r="K561" s="131">
        <f t="shared" si="77"/>
        <v>285885.65000000002</v>
      </c>
      <c r="L561" s="134">
        <v>0.1792</v>
      </c>
    </row>
    <row r="562" spans="3:12">
      <c r="C562" s="161">
        <f t="shared" si="75"/>
        <v>2017</v>
      </c>
      <c r="D562" s="35" t="s">
        <v>269</v>
      </c>
      <c r="E562" s="227">
        <v>42767</v>
      </c>
      <c r="F562" s="156">
        <v>1027386.26</v>
      </c>
      <c r="G562" s="131">
        <f t="shared" si="76"/>
        <v>184107.617792</v>
      </c>
      <c r="H562" s="156">
        <v>5769.5</v>
      </c>
      <c r="I562" s="156">
        <v>413403.41</v>
      </c>
      <c r="J562" s="156">
        <v>4676.8500000000004</v>
      </c>
      <c r="K562" s="131">
        <f t="shared" si="77"/>
        <v>423849.75999999995</v>
      </c>
      <c r="L562" s="134">
        <v>0.1792</v>
      </c>
    </row>
    <row r="563" spans="3:12">
      <c r="C563" s="161">
        <f t="shared" si="75"/>
        <v>2017</v>
      </c>
      <c r="D563" s="35" t="s">
        <v>269</v>
      </c>
      <c r="E563" s="227">
        <v>42795</v>
      </c>
      <c r="F563" s="156">
        <v>944984.39</v>
      </c>
      <c r="G563" s="131">
        <f t="shared" si="76"/>
        <v>169341.20268799999</v>
      </c>
      <c r="H563" s="156">
        <v>4981.34</v>
      </c>
      <c r="I563" s="156">
        <v>585170.30000000005</v>
      </c>
      <c r="J563" s="156">
        <v>20932.400000000001</v>
      </c>
      <c r="K563" s="131">
        <f t="shared" si="77"/>
        <v>611084.04</v>
      </c>
      <c r="L563" s="134">
        <v>0.1792</v>
      </c>
    </row>
    <row r="564" spans="3:12">
      <c r="C564" s="161">
        <f t="shared" si="75"/>
        <v>2017</v>
      </c>
      <c r="D564" s="35" t="s">
        <v>269</v>
      </c>
      <c r="E564" s="227">
        <v>42826</v>
      </c>
      <c r="F564" s="156">
        <v>991259.5</v>
      </c>
      <c r="G564" s="131">
        <f t="shared" si="76"/>
        <v>177633.70240000001</v>
      </c>
      <c r="H564" s="156">
        <v>3140.62</v>
      </c>
      <c r="I564" s="156">
        <v>356470.43</v>
      </c>
      <c r="J564" s="156">
        <v>0</v>
      </c>
      <c r="K564" s="131">
        <f t="shared" si="77"/>
        <v>359611.05</v>
      </c>
      <c r="L564" s="134">
        <v>0.1792</v>
      </c>
    </row>
    <row r="565" spans="3:12">
      <c r="C565" s="161">
        <f t="shared" si="75"/>
        <v>2017</v>
      </c>
      <c r="D565" s="35" t="s">
        <v>269</v>
      </c>
      <c r="E565" s="227">
        <v>42856</v>
      </c>
      <c r="F565" s="156">
        <v>949233.41</v>
      </c>
      <c r="G565" s="131">
        <f t="shared" si="76"/>
        <v>170102.627072</v>
      </c>
      <c r="H565" s="156">
        <v>5668.66</v>
      </c>
      <c r="I565" s="156">
        <v>335798.46</v>
      </c>
      <c r="J565" s="156">
        <v>943.74</v>
      </c>
      <c r="K565" s="131">
        <f t="shared" si="77"/>
        <v>342410.86</v>
      </c>
      <c r="L565" s="134">
        <v>0.1792</v>
      </c>
    </row>
    <row r="566" spans="3:12">
      <c r="C566" s="161">
        <f t="shared" si="75"/>
        <v>2017</v>
      </c>
      <c r="D566" s="35" t="s">
        <v>269</v>
      </c>
      <c r="E566" s="227">
        <v>42887</v>
      </c>
      <c r="F566" s="156">
        <v>922307.31</v>
      </c>
      <c r="G566" s="131">
        <f t="shared" si="76"/>
        <v>165277.46995200001</v>
      </c>
      <c r="H566" s="156">
        <v>177436.11</v>
      </c>
      <c r="I566" s="156">
        <v>378376.15</v>
      </c>
      <c r="J566" s="156">
        <v>0</v>
      </c>
      <c r="K566" s="131">
        <f t="shared" si="77"/>
        <v>555812.26</v>
      </c>
      <c r="L566" s="134">
        <v>0.1792</v>
      </c>
    </row>
    <row r="567" spans="3:12">
      <c r="C567" s="161">
        <f t="shared" si="75"/>
        <v>2017</v>
      </c>
      <c r="D567" s="35" t="s">
        <v>269</v>
      </c>
      <c r="E567" s="227">
        <v>42917</v>
      </c>
      <c r="F567" s="156">
        <v>967374.99</v>
      </c>
      <c r="G567" s="131">
        <f t="shared" si="76"/>
        <v>173353.59820800001</v>
      </c>
      <c r="H567" s="156">
        <v>5356.34</v>
      </c>
      <c r="I567" s="156">
        <v>306888.64</v>
      </c>
      <c r="J567" s="156">
        <v>0</v>
      </c>
      <c r="K567" s="131">
        <f t="shared" si="77"/>
        <v>312244.98000000004</v>
      </c>
      <c r="L567" s="134">
        <v>0.1792</v>
      </c>
    </row>
    <row r="568" spans="3:12">
      <c r="C568" s="161">
        <f t="shared" si="75"/>
        <v>2017</v>
      </c>
      <c r="D568" s="35" t="s">
        <v>269</v>
      </c>
      <c r="E568" s="227">
        <v>42948</v>
      </c>
      <c r="F568" s="156">
        <v>1043062.9</v>
      </c>
      <c r="G568" s="131">
        <f t="shared" si="76"/>
        <v>186916.87168000001</v>
      </c>
      <c r="H568" s="156">
        <v>7837.94</v>
      </c>
      <c r="I568" s="156">
        <v>233952.96</v>
      </c>
      <c r="J568" s="156">
        <v>287.61</v>
      </c>
      <c r="K568" s="131">
        <f t="shared" si="77"/>
        <v>242078.50999999998</v>
      </c>
      <c r="L568" s="134">
        <v>0.1792</v>
      </c>
    </row>
    <row r="569" spans="3:12">
      <c r="C569" s="161">
        <f t="shared" si="75"/>
        <v>2017</v>
      </c>
      <c r="D569" s="35" t="s">
        <v>269</v>
      </c>
      <c r="E569" s="227">
        <v>42979</v>
      </c>
      <c r="F569" s="156">
        <v>1181948.57</v>
      </c>
      <c r="G569" s="131">
        <f t="shared" si="76"/>
        <v>211805.18374400001</v>
      </c>
      <c r="H569" s="156">
        <v>8352.7999999999993</v>
      </c>
      <c r="I569" s="156">
        <v>239925.73</v>
      </c>
      <c r="J569" s="156">
        <v>0</v>
      </c>
      <c r="K569" s="131">
        <f t="shared" si="77"/>
        <v>248278.53</v>
      </c>
      <c r="L569" s="134">
        <v>0.1792</v>
      </c>
    </row>
    <row r="570" spans="3:12">
      <c r="C570" s="161">
        <f t="shared" si="75"/>
        <v>2017</v>
      </c>
      <c r="D570" s="35" t="s">
        <v>269</v>
      </c>
      <c r="E570" s="227">
        <v>43009</v>
      </c>
      <c r="F570" s="156">
        <v>1082223.55</v>
      </c>
      <c r="G570" s="131">
        <f t="shared" si="76"/>
        <v>193934.46016000002</v>
      </c>
      <c r="H570" s="156">
        <v>10975.63</v>
      </c>
      <c r="I570" s="156">
        <v>0</v>
      </c>
      <c r="J570" s="156">
        <v>1700</v>
      </c>
      <c r="K570" s="131">
        <f t="shared" si="77"/>
        <v>12675.63</v>
      </c>
      <c r="L570" s="134">
        <v>0.1792</v>
      </c>
    </row>
    <row r="571" spans="3:12">
      <c r="C571" s="161">
        <f t="shared" si="75"/>
        <v>2017</v>
      </c>
      <c r="D571" s="35" t="s">
        <v>269</v>
      </c>
      <c r="E571" s="227">
        <v>43040</v>
      </c>
      <c r="F571" s="156">
        <v>1052266.74</v>
      </c>
      <c r="G571" s="131">
        <f t="shared" si="76"/>
        <v>188566.199808</v>
      </c>
      <c r="H571" s="156">
        <v>16377.29</v>
      </c>
      <c r="I571" s="156">
        <v>0</v>
      </c>
      <c r="J571" s="156">
        <v>0</v>
      </c>
      <c r="K571" s="131">
        <f t="shared" si="77"/>
        <v>16377.29</v>
      </c>
      <c r="L571" s="134">
        <v>0.1792</v>
      </c>
    </row>
    <row r="572" spans="3:12">
      <c r="C572" s="161">
        <f t="shared" si="75"/>
        <v>2017</v>
      </c>
      <c r="D572" s="35" t="s">
        <v>269</v>
      </c>
      <c r="E572" s="227">
        <v>43070</v>
      </c>
      <c r="F572" s="156">
        <v>1039489.03</v>
      </c>
      <c r="G572" s="131">
        <f t="shared" si="76"/>
        <v>186276.43417600001</v>
      </c>
      <c r="H572" s="156">
        <v>6496.76</v>
      </c>
      <c r="I572" s="156">
        <v>3081.01</v>
      </c>
      <c r="J572" s="156">
        <v>0</v>
      </c>
      <c r="K572" s="131">
        <f t="shared" si="77"/>
        <v>9577.77</v>
      </c>
      <c r="L572" s="134">
        <v>0.1792</v>
      </c>
    </row>
    <row r="573" spans="3:12">
      <c r="C573" s="161">
        <f t="shared" si="75"/>
        <v>2018</v>
      </c>
      <c r="D573" s="35" t="s">
        <v>269</v>
      </c>
      <c r="E573" s="227">
        <v>43101</v>
      </c>
      <c r="F573" s="156">
        <v>1053259.55</v>
      </c>
      <c r="G573" s="131">
        <f t="shared" si="76"/>
        <v>188744.11136000001</v>
      </c>
      <c r="H573" s="156">
        <v>3731.79</v>
      </c>
      <c r="I573" s="156">
        <v>0</v>
      </c>
      <c r="J573" s="156">
        <v>0</v>
      </c>
      <c r="K573" s="131">
        <f t="shared" si="77"/>
        <v>3731.79</v>
      </c>
      <c r="L573" s="134">
        <v>0.1792</v>
      </c>
    </row>
    <row r="574" spans="3:12">
      <c r="C574" s="161">
        <f t="shared" si="75"/>
        <v>2018</v>
      </c>
      <c r="D574" s="35" t="s">
        <v>269</v>
      </c>
      <c r="E574" s="227">
        <v>43132</v>
      </c>
      <c r="F574" s="156">
        <v>1047031.11</v>
      </c>
      <c r="G574" s="131">
        <f t="shared" si="76"/>
        <v>187627.97491200001</v>
      </c>
      <c r="H574" s="156">
        <v>3538.6</v>
      </c>
      <c r="I574" s="156">
        <v>4603.3599999999997</v>
      </c>
      <c r="J574" s="156">
        <v>0</v>
      </c>
      <c r="K574" s="131">
        <f t="shared" si="77"/>
        <v>8141.9599999999991</v>
      </c>
      <c r="L574" s="134">
        <v>0.1792</v>
      </c>
    </row>
    <row r="575" spans="3:12">
      <c r="C575" s="161">
        <f t="shared" si="75"/>
        <v>2018</v>
      </c>
      <c r="D575" s="35" t="s">
        <v>269</v>
      </c>
      <c r="E575" s="227">
        <v>43160</v>
      </c>
      <c r="F575" s="156">
        <v>974300.98</v>
      </c>
      <c r="G575" s="131">
        <f t="shared" si="76"/>
        <v>174594.73561599999</v>
      </c>
      <c r="H575" s="156">
        <v>5909.96</v>
      </c>
      <c r="I575" s="156">
        <v>6412.66</v>
      </c>
      <c r="J575" s="156">
        <v>0</v>
      </c>
      <c r="K575" s="131">
        <f t="shared" si="77"/>
        <v>12322.619999999999</v>
      </c>
      <c r="L575" s="134">
        <v>0.1792</v>
      </c>
    </row>
    <row r="576" spans="3:12">
      <c r="C576" s="161">
        <f t="shared" si="75"/>
        <v>2018</v>
      </c>
      <c r="D576" s="35" t="s">
        <v>269</v>
      </c>
      <c r="E576" s="227">
        <v>43191</v>
      </c>
      <c r="F576" s="156">
        <v>1030038.66</v>
      </c>
      <c r="G576" s="131">
        <f t="shared" si="76"/>
        <v>184582.927872</v>
      </c>
      <c r="H576" s="156">
        <v>8187.3</v>
      </c>
      <c r="I576" s="156">
        <v>17579.150000000001</v>
      </c>
      <c r="J576" s="156">
        <v>0</v>
      </c>
      <c r="K576" s="131">
        <f t="shared" si="77"/>
        <v>25766.45</v>
      </c>
      <c r="L576" s="134">
        <v>0.1792</v>
      </c>
    </row>
    <row r="577" spans="3:12">
      <c r="C577" s="161">
        <f t="shared" si="75"/>
        <v>2018</v>
      </c>
      <c r="D577" s="35" t="s">
        <v>269</v>
      </c>
      <c r="E577" s="227">
        <v>43221</v>
      </c>
      <c r="F577" s="156">
        <v>1056401.23</v>
      </c>
      <c r="G577" s="131">
        <f t="shared" si="76"/>
        <v>189307.100416</v>
      </c>
      <c r="H577" s="156">
        <v>7235.77</v>
      </c>
      <c r="I577" s="156">
        <v>1653.58</v>
      </c>
      <c r="J577" s="156">
        <v>0</v>
      </c>
      <c r="K577" s="131">
        <f t="shared" si="77"/>
        <v>8889.35</v>
      </c>
      <c r="L577" s="134">
        <v>0.1792</v>
      </c>
    </row>
    <row r="578" spans="3:12">
      <c r="C578" s="161">
        <f t="shared" si="75"/>
        <v>2018</v>
      </c>
      <c r="D578" s="35" t="s">
        <v>269</v>
      </c>
      <c r="E578" s="227">
        <v>43252</v>
      </c>
      <c r="F578" s="156">
        <v>994933.72</v>
      </c>
      <c r="G578" s="131">
        <f t="shared" si="76"/>
        <v>178292.12262399998</v>
      </c>
      <c r="H578" s="156">
        <v>6479.58</v>
      </c>
      <c r="I578" s="156">
        <v>0</v>
      </c>
      <c r="J578" s="156">
        <v>0</v>
      </c>
      <c r="K578" s="131">
        <f t="shared" si="77"/>
        <v>6479.58</v>
      </c>
      <c r="L578" s="134">
        <v>0.1792</v>
      </c>
    </row>
    <row r="579" spans="3:12">
      <c r="C579" s="161">
        <f t="shared" si="75"/>
        <v>2018</v>
      </c>
      <c r="D579" s="35" t="s">
        <v>269</v>
      </c>
      <c r="E579" s="227">
        <v>43282</v>
      </c>
      <c r="F579" s="156">
        <v>998331.77</v>
      </c>
      <c r="G579" s="131">
        <f t="shared" si="76"/>
        <v>178901.05318399999</v>
      </c>
      <c r="H579" s="156">
        <v>18774.310000000001</v>
      </c>
      <c r="I579" s="156">
        <v>10204.370000000001</v>
      </c>
      <c r="J579" s="156">
        <v>5771.25</v>
      </c>
      <c r="K579" s="131">
        <f t="shared" si="77"/>
        <v>34749.93</v>
      </c>
      <c r="L579" s="134">
        <v>0.1792</v>
      </c>
    </row>
    <row r="580" spans="3:12">
      <c r="C580" s="161">
        <f t="shared" ref="C580:C643" si="78">YEAR(E580)</f>
        <v>2018</v>
      </c>
      <c r="D580" s="35" t="s">
        <v>269</v>
      </c>
      <c r="E580" s="227">
        <v>43313</v>
      </c>
      <c r="F580" s="156">
        <v>1006155.03</v>
      </c>
      <c r="G580" s="131">
        <f t="shared" ref="G580:G643" si="79">F580*L580</f>
        <v>180302.98137600001</v>
      </c>
      <c r="H580" s="156">
        <v>7779.2</v>
      </c>
      <c r="I580" s="156">
        <v>7072.95</v>
      </c>
      <c r="J580" s="156">
        <v>0</v>
      </c>
      <c r="K580" s="131">
        <f t="shared" ref="K580:K643" si="80">SUM(H580:J580)</f>
        <v>14852.15</v>
      </c>
      <c r="L580" s="134">
        <v>0.1792</v>
      </c>
    </row>
    <row r="581" spans="3:12">
      <c r="C581" s="161">
        <f t="shared" si="78"/>
        <v>2018</v>
      </c>
      <c r="D581" s="35" t="s">
        <v>269</v>
      </c>
      <c r="E581" s="227">
        <v>43344</v>
      </c>
      <c r="F581" s="156">
        <v>1016573.96</v>
      </c>
      <c r="G581" s="131">
        <f t="shared" si="79"/>
        <v>182170.053632</v>
      </c>
      <c r="H581" s="156">
        <v>7766.18</v>
      </c>
      <c r="I581" s="156">
        <v>1483.01</v>
      </c>
      <c r="J581" s="156">
        <v>1116.3599999999999</v>
      </c>
      <c r="K581" s="131">
        <f t="shared" si="80"/>
        <v>10365.550000000001</v>
      </c>
      <c r="L581" s="134">
        <v>0.1792</v>
      </c>
    </row>
    <row r="582" spans="3:12">
      <c r="C582" s="161">
        <f t="shared" si="78"/>
        <v>2018</v>
      </c>
      <c r="D582" s="35" t="s">
        <v>269</v>
      </c>
      <c r="E582" s="227">
        <v>43374</v>
      </c>
      <c r="F582" s="156">
        <v>1078964.31</v>
      </c>
      <c r="G582" s="131">
        <f t="shared" si="79"/>
        <v>193350.40435200001</v>
      </c>
      <c r="H582" s="156">
        <v>6842.42</v>
      </c>
      <c r="I582" s="156">
        <v>3444.12</v>
      </c>
      <c r="J582" s="156">
        <v>0</v>
      </c>
      <c r="K582" s="131">
        <f t="shared" si="80"/>
        <v>10286.540000000001</v>
      </c>
      <c r="L582" s="134">
        <v>0.1792</v>
      </c>
    </row>
    <row r="583" spans="3:12">
      <c r="C583" s="161">
        <f t="shared" si="78"/>
        <v>2018</v>
      </c>
      <c r="D583" s="35" t="s">
        <v>269</v>
      </c>
      <c r="E583" s="227">
        <v>43405</v>
      </c>
      <c r="F583" s="156">
        <v>1123516.27245</v>
      </c>
      <c r="G583" s="131">
        <f t="shared" si="79"/>
        <v>201334.11602304</v>
      </c>
      <c r="H583" s="156">
        <v>9478.92</v>
      </c>
      <c r="I583" s="156">
        <v>2241.86</v>
      </c>
      <c r="J583" s="156">
        <v>43222.5</v>
      </c>
      <c r="K583" s="131">
        <f t="shared" si="80"/>
        <v>54943.28</v>
      </c>
      <c r="L583" s="134">
        <v>0.1792</v>
      </c>
    </row>
    <row r="584" spans="3:12">
      <c r="C584" s="161">
        <f t="shared" si="78"/>
        <v>2018</v>
      </c>
      <c r="D584" s="35" t="s">
        <v>269</v>
      </c>
      <c r="E584" s="227">
        <v>43435</v>
      </c>
      <c r="F584" s="156">
        <v>1113497.57</v>
      </c>
      <c r="G584" s="131">
        <f t="shared" si="79"/>
        <v>199538.76454400001</v>
      </c>
      <c r="H584" s="156">
        <v>4391.3</v>
      </c>
      <c r="I584" s="156">
        <v>2582.17</v>
      </c>
      <c r="J584" s="156" t="s">
        <v>267</v>
      </c>
      <c r="K584" s="131">
        <f t="shared" si="80"/>
        <v>6973.47</v>
      </c>
      <c r="L584" s="134">
        <v>0.1792</v>
      </c>
    </row>
    <row r="585" spans="3:12">
      <c r="C585" s="161">
        <f t="shared" si="78"/>
        <v>2019</v>
      </c>
      <c r="D585" s="35" t="s">
        <v>269</v>
      </c>
      <c r="E585" s="227">
        <v>43466</v>
      </c>
      <c r="F585" s="156">
        <v>1158809.17</v>
      </c>
      <c r="G585" s="131">
        <f t="shared" si="79"/>
        <v>207658.60326399998</v>
      </c>
      <c r="H585" s="156">
        <v>7027.42</v>
      </c>
      <c r="I585" s="156">
        <v>273118.96000000002</v>
      </c>
      <c r="J585" s="156">
        <v>0</v>
      </c>
      <c r="K585" s="131">
        <f t="shared" si="80"/>
        <v>280146.38</v>
      </c>
      <c r="L585" s="134">
        <v>0.1792</v>
      </c>
    </row>
    <row r="586" spans="3:12">
      <c r="C586" s="161">
        <f t="shared" si="78"/>
        <v>2019</v>
      </c>
      <c r="D586" s="35" t="s">
        <v>269</v>
      </c>
      <c r="E586" s="227">
        <v>43497</v>
      </c>
      <c r="F586" s="156">
        <v>1122408.22</v>
      </c>
      <c r="G586" s="131">
        <f t="shared" si="79"/>
        <v>201135.55302399999</v>
      </c>
      <c r="H586" s="156">
        <v>7086.84</v>
      </c>
      <c r="I586" s="156">
        <v>462726.05</v>
      </c>
      <c r="J586" s="156">
        <v>0</v>
      </c>
      <c r="K586" s="131">
        <f t="shared" si="80"/>
        <v>469812.89</v>
      </c>
      <c r="L586" s="134">
        <v>0.1792</v>
      </c>
    </row>
    <row r="587" spans="3:12">
      <c r="C587" s="161">
        <f t="shared" si="78"/>
        <v>2019</v>
      </c>
      <c r="D587" s="35" t="s">
        <v>269</v>
      </c>
      <c r="E587" s="227">
        <v>43525</v>
      </c>
      <c r="F587" s="156">
        <v>1002272.79</v>
      </c>
      <c r="G587" s="131">
        <f t="shared" si="79"/>
        <v>179607.283968</v>
      </c>
      <c r="H587" s="156">
        <v>2584.27</v>
      </c>
      <c r="I587" s="156">
        <v>670774.26</v>
      </c>
      <c r="J587" s="156">
        <v>0</v>
      </c>
      <c r="K587" s="131">
        <f t="shared" si="80"/>
        <v>673358.53</v>
      </c>
      <c r="L587" s="134">
        <v>0.1792</v>
      </c>
    </row>
    <row r="588" spans="3:12">
      <c r="C588" s="161">
        <f t="shared" si="78"/>
        <v>2019</v>
      </c>
      <c r="D588" s="35" t="s">
        <v>269</v>
      </c>
      <c r="E588" s="227">
        <v>43556</v>
      </c>
      <c r="F588" s="156">
        <v>1105001.3600000001</v>
      </c>
      <c r="G588" s="131">
        <f t="shared" si="79"/>
        <v>198016.24371200002</v>
      </c>
      <c r="H588" s="156">
        <v>7162.65</v>
      </c>
      <c r="I588" s="156">
        <v>136760.51</v>
      </c>
      <c r="J588" s="156">
        <v>523.75</v>
      </c>
      <c r="K588" s="131">
        <f t="shared" si="80"/>
        <v>144446.91</v>
      </c>
      <c r="L588" s="134">
        <v>0.1792</v>
      </c>
    </row>
    <row r="589" spans="3:12">
      <c r="C589" s="161">
        <f t="shared" si="78"/>
        <v>2019</v>
      </c>
      <c r="D589" s="35" t="s">
        <v>269</v>
      </c>
      <c r="E589" s="227">
        <v>43586</v>
      </c>
      <c r="F589" s="156">
        <v>1073277.6100000001</v>
      </c>
      <c r="G589" s="131">
        <f t="shared" si="79"/>
        <v>192331.34771200002</v>
      </c>
      <c r="H589" s="156">
        <v>15625.1</v>
      </c>
      <c r="I589" s="156">
        <v>252253.09</v>
      </c>
      <c r="J589" s="156">
        <v>0</v>
      </c>
      <c r="K589" s="131">
        <f t="shared" si="80"/>
        <v>267878.19</v>
      </c>
      <c r="L589" s="134">
        <v>0.1792</v>
      </c>
    </row>
    <row r="590" spans="3:12">
      <c r="C590" s="161">
        <f t="shared" si="78"/>
        <v>2019</v>
      </c>
      <c r="D590" s="35" t="s">
        <v>269</v>
      </c>
      <c r="E590" s="227">
        <v>43617</v>
      </c>
      <c r="F590" s="156">
        <v>1074915.54</v>
      </c>
      <c r="G590" s="131">
        <f t="shared" si="79"/>
        <v>192624.864768</v>
      </c>
      <c r="H590" s="156">
        <v>40112.65</v>
      </c>
      <c r="I590" s="156">
        <v>416751.07</v>
      </c>
      <c r="J590" s="156">
        <v>0</v>
      </c>
      <c r="K590" s="131">
        <f t="shared" si="80"/>
        <v>456863.72000000003</v>
      </c>
      <c r="L590" s="134">
        <v>0.1792</v>
      </c>
    </row>
    <row r="591" spans="3:12">
      <c r="C591" s="161">
        <f t="shared" si="78"/>
        <v>2019</v>
      </c>
      <c r="D591" s="35" t="s">
        <v>269</v>
      </c>
      <c r="E591" s="227">
        <v>43647</v>
      </c>
      <c r="F591" s="156">
        <v>1031772.01</v>
      </c>
      <c r="G591" s="131">
        <f t="shared" si="79"/>
        <v>184893.544192</v>
      </c>
      <c r="H591" s="156">
        <v>9231.19</v>
      </c>
      <c r="I591" s="156">
        <v>163582.98000000001</v>
      </c>
      <c r="J591" s="156">
        <v>8769.2199999999993</v>
      </c>
      <c r="K591" s="131">
        <f t="shared" si="80"/>
        <v>181583.39</v>
      </c>
      <c r="L591" s="134">
        <v>0.1792</v>
      </c>
    </row>
    <row r="592" spans="3:12">
      <c r="C592" s="161">
        <f t="shared" si="78"/>
        <v>2019</v>
      </c>
      <c r="D592" s="35" t="s">
        <v>269</v>
      </c>
      <c r="E592" s="227">
        <v>43678</v>
      </c>
      <c r="F592" s="156">
        <v>1083223.58</v>
      </c>
      <c r="G592" s="131">
        <f t="shared" si="79"/>
        <v>194113.66553600001</v>
      </c>
      <c r="H592" s="156">
        <v>5182.17</v>
      </c>
      <c r="I592" s="156">
        <v>25639.09</v>
      </c>
      <c r="J592" s="156">
        <v>870</v>
      </c>
      <c r="K592" s="131">
        <f t="shared" si="80"/>
        <v>31691.260000000002</v>
      </c>
      <c r="L592" s="134">
        <v>0.1792</v>
      </c>
    </row>
    <row r="593" spans="3:12">
      <c r="C593" s="161">
        <f t="shared" si="78"/>
        <v>2019</v>
      </c>
      <c r="D593" s="35" t="s">
        <v>269</v>
      </c>
      <c r="E593" s="227">
        <v>43709</v>
      </c>
      <c r="F593" s="156">
        <v>1248470.74</v>
      </c>
      <c r="G593" s="131">
        <f t="shared" si="79"/>
        <v>223725.95660800001</v>
      </c>
      <c r="H593" s="156">
        <v>23519.99</v>
      </c>
      <c r="I593" s="156">
        <v>23076.880000000001</v>
      </c>
      <c r="J593" s="156">
        <v>7909.14</v>
      </c>
      <c r="K593" s="131">
        <f t="shared" si="80"/>
        <v>54506.01</v>
      </c>
      <c r="L593" s="134">
        <v>0.1792</v>
      </c>
    </row>
    <row r="594" spans="3:12">
      <c r="C594" s="161">
        <f t="shared" si="78"/>
        <v>2019</v>
      </c>
      <c r="D594" s="35" t="s">
        <v>269</v>
      </c>
      <c r="E594" s="227">
        <v>43739</v>
      </c>
      <c r="F594" s="156">
        <v>1230792.58</v>
      </c>
      <c r="G594" s="131">
        <f t="shared" si="79"/>
        <v>220558.03033600003</v>
      </c>
      <c r="H594" s="156">
        <v>9389.58</v>
      </c>
      <c r="I594" s="156">
        <v>21936.35</v>
      </c>
      <c r="J594" s="156">
        <v>375932.08</v>
      </c>
      <c r="K594" s="131">
        <f t="shared" si="80"/>
        <v>407258.01</v>
      </c>
      <c r="L594" s="134">
        <v>0.1792</v>
      </c>
    </row>
    <row r="595" spans="3:12">
      <c r="C595" s="161">
        <f t="shared" si="78"/>
        <v>2019</v>
      </c>
      <c r="D595" s="35" t="s">
        <v>269</v>
      </c>
      <c r="E595" s="227">
        <v>43770</v>
      </c>
      <c r="F595" s="156">
        <v>1257942.7</v>
      </c>
      <c r="G595" s="131">
        <f t="shared" si="79"/>
        <v>225423.33184</v>
      </c>
      <c r="H595" s="156">
        <v>4196.74</v>
      </c>
      <c r="I595" s="156">
        <v>23252.15</v>
      </c>
      <c r="J595" s="156">
        <v>0</v>
      </c>
      <c r="K595" s="131">
        <f t="shared" si="80"/>
        <v>27448.89</v>
      </c>
      <c r="L595" s="134">
        <v>0.1792</v>
      </c>
    </row>
    <row r="596" spans="3:12">
      <c r="C596" s="161">
        <f t="shared" si="78"/>
        <v>2019</v>
      </c>
      <c r="D596" s="35" t="s">
        <v>269</v>
      </c>
      <c r="E596" s="227">
        <v>43800</v>
      </c>
      <c r="F596" s="156">
        <v>1178718.54</v>
      </c>
      <c r="G596" s="131">
        <f t="shared" si="79"/>
        <v>211226.362368</v>
      </c>
      <c r="H596" s="156">
        <v>5649.94</v>
      </c>
      <c r="I596" s="156">
        <v>19435.63</v>
      </c>
      <c r="J596" s="156">
        <v>1299.29</v>
      </c>
      <c r="K596" s="131">
        <f t="shared" si="80"/>
        <v>26384.86</v>
      </c>
      <c r="L596" s="134">
        <v>0.1792</v>
      </c>
    </row>
    <row r="597" spans="3:12">
      <c r="C597" s="161">
        <f t="shared" si="78"/>
        <v>2020</v>
      </c>
      <c r="D597" s="35" t="s">
        <v>269</v>
      </c>
      <c r="E597" s="227">
        <v>43831</v>
      </c>
      <c r="F597" s="156">
        <v>1159295.55</v>
      </c>
      <c r="G597" s="131">
        <f t="shared" si="79"/>
        <v>207745.76256</v>
      </c>
      <c r="H597" s="156">
        <v>13392.81</v>
      </c>
      <c r="I597" s="156">
        <v>15885.74</v>
      </c>
      <c r="J597" s="156">
        <v>1753.74</v>
      </c>
      <c r="K597" s="131">
        <f t="shared" si="80"/>
        <v>31032.29</v>
      </c>
      <c r="L597" s="134">
        <v>0.1792</v>
      </c>
    </row>
    <row r="598" spans="3:12">
      <c r="C598" s="161">
        <f t="shared" si="78"/>
        <v>2020</v>
      </c>
      <c r="D598" s="35" t="s">
        <v>269</v>
      </c>
      <c r="E598" s="227">
        <v>43862</v>
      </c>
      <c r="F598" s="156">
        <v>1151590.49</v>
      </c>
      <c r="G598" s="131">
        <f t="shared" si="79"/>
        <v>206365.015808</v>
      </c>
      <c r="H598" s="156">
        <v>72675.67</v>
      </c>
      <c r="I598" s="156">
        <v>19678.54</v>
      </c>
      <c r="J598" s="156">
        <v>1995</v>
      </c>
      <c r="K598" s="131">
        <f t="shared" si="80"/>
        <v>94349.209999999992</v>
      </c>
      <c r="L598" s="134">
        <v>0.1792</v>
      </c>
    </row>
    <row r="599" spans="3:12">
      <c r="C599" s="161">
        <f t="shared" si="78"/>
        <v>2020</v>
      </c>
      <c r="D599" s="35" t="s">
        <v>269</v>
      </c>
      <c r="E599" s="227">
        <v>43891</v>
      </c>
      <c r="F599" s="156">
        <v>1185100.983</v>
      </c>
      <c r="G599" s="131">
        <f t="shared" si="79"/>
        <v>212370.0961536</v>
      </c>
      <c r="H599" s="156">
        <v>7373.24</v>
      </c>
      <c r="I599" s="156">
        <v>17899.29</v>
      </c>
      <c r="J599" s="156">
        <v>0</v>
      </c>
      <c r="K599" s="131">
        <f t="shared" si="80"/>
        <v>25272.53</v>
      </c>
      <c r="L599" s="134">
        <v>0.1792</v>
      </c>
    </row>
    <row r="600" spans="3:12">
      <c r="C600" s="161">
        <f t="shared" si="78"/>
        <v>2020</v>
      </c>
      <c r="D600" s="35" t="s">
        <v>269</v>
      </c>
      <c r="E600" s="227">
        <v>43922</v>
      </c>
      <c r="F600" s="156">
        <v>1214771.7318</v>
      </c>
      <c r="G600" s="131">
        <f t="shared" si="79"/>
        <v>217687.09433855998</v>
      </c>
      <c r="H600" s="156">
        <v>9640.7800000000007</v>
      </c>
      <c r="I600" s="156">
        <v>14977.76</v>
      </c>
      <c r="J600" s="156">
        <v>0</v>
      </c>
      <c r="K600" s="131">
        <f t="shared" si="80"/>
        <v>24618.54</v>
      </c>
      <c r="L600" s="134">
        <v>0.1792</v>
      </c>
    </row>
    <row r="601" spans="3:12">
      <c r="C601" s="161">
        <f t="shared" si="78"/>
        <v>2020</v>
      </c>
      <c r="D601" s="35" t="s">
        <v>269</v>
      </c>
      <c r="E601" s="227">
        <v>43952</v>
      </c>
      <c r="F601" s="156">
        <v>1043595.07</v>
      </c>
      <c r="G601" s="131">
        <f t="shared" si="79"/>
        <v>187012.23654399998</v>
      </c>
      <c r="H601" s="156">
        <v>28207.91</v>
      </c>
      <c r="I601" s="156">
        <v>16854.54</v>
      </c>
      <c r="J601" s="156">
        <v>888.77</v>
      </c>
      <c r="K601" s="131">
        <f t="shared" si="80"/>
        <v>45951.219999999994</v>
      </c>
      <c r="L601" s="134">
        <v>0.1792</v>
      </c>
    </row>
    <row r="602" spans="3:12">
      <c r="C602" s="161">
        <f t="shared" si="78"/>
        <v>2020</v>
      </c>
      <c r="D602" s="35" t="s">
        <v>269</v>
      </c>
      <c r="E602" s="227">
        <v>43983</v>
      </c>
      <c r="F602" s="156">
        <v>1059289.93</v>
      </c>
      <c r="G602" s="131">
        <f t="shared" si="79"/>
        <v>189824.75545599998</v>
      </c>
      <c r="H602" s="156">
        <v>10032.030000000001</v>
      </c>
      <c r="I602" s="156">
        <v>16261.05</v>
      </c>
      <c r="J602" s="156">
        <v>4660</v>
      </c>
      <c r="K602" s="131">
        <f t="shared" si="80"/>
        <v>30953.08</v>
      </c>
      <c r="L602" s="134">
        <v>0.1792</v>
      </c>
    </row>
    <row r="603" spans="3:12">
      <c r="C603" s="161">
        <f t="shared" si="78"/>
        <v>2020</v>
      </c>
      <c r="D603" s="35" t="s">
        <v>269</v>
      </c>
      <c r="E603" s="227">
        <v>44013</v>
      </c>
      <c r="F603" s="156">
        <v>1094418.6599999999</v>
      </c>
      <c r="G603" s="131">
        <f t="shared" si="79"/>
        <v>196119.82387199998</v>
      </c>
      <c r="H603" s="156">
        <v>10534.18</v>
      </c>
      <c r="I603" s="156">
        <v>16744.27</v>
      </c>
      <c r="J603" s="156">
        <v>0</v>
      </c>
      <c r="K603" s="131">
        <f t="shared" si="80"/>
        <v>27278.45</v>
      </c>
      <c r="L603" s="134">
        <v>0.1792</v>
      </c>
    </row>
    <row r="604" spans="3:12">
      <c r="C604" s="161">
        <f t="shared" si="78"/>
        <v>2020</v>
      </c>
      <c r="D604" s="35" t="s">
        <v>269</v>
      </c>
      <c r="E604" s="227">
        <v>44044</v>
      </c>
      <c r="F604" s="156">
        <v>1152060.17</v>
      </c>
      <c r="G604" s="131">
        <f t="shared" si="79"/>
        <v>206449.18246399998</v>
      </c>
      <c r="H604" s="156">
        <v>8870.69</v>
      </c>
      <c r="I604" s="156">
        <v>260123.03</v>
      </c>
      <c r="J604" s="156">
        <v>0</v>
      </c>
      <c r="K604" s="131">
        <f t="shared" si="80"/>
        <v>268993.71999999997</v>
      </c>
      <c r="L604" s="134">
        <v>0.1792</v>
      </c>
    </row>
    <row r="605" spans="3:12">
      <c r="C605" s="161">
        <f t="shared" si="78"/>
        <v>2020</v>
      </c>
      <c r="D605" s="35" t="s">
        <v>269</v>
      </c>
      <c r="E605" s="227">
        <v>44075</v>
      </c>
      <c r="F605" s="156">
        <v>1181021.19</v>
      </c>
      <c r="G605" s="131">
        <f t="shared" si="79"/>
        <v>211638.997248</v>
      </c>
      <c r="H605" s="156">
        <v>29833.91</v>
      </c>
      <c r="I605" s="156">
        <v>265336.28000000003</v>
      </c>
      <c r="J605" s="156">
        <v>663.7</v>
      </c>
      <c r="K605" s="131">
        <f t="shared" si="80"/>
        <v>295833.89</v>
      </c>
      <c r="L605" s="134">
        <v>0.1792</v>
      </c>
    </row>
    <row r="606" spans="3:12">
      <c r="C606" s="161">
        <f t="shared" si="78"/>
        <v>2020</v>
      </c>
      <c r="D606" s="35" t="s">
        <v>269</v>
      </c>
      <c r="E606" s="227">
        <v>44105</v>
      </c>
      <c r="F606" s="156">
        <v>1302824.07</v>
      </c>
      <c r="G606" s="131">
        <f t="shared" si="79"/>
        <v>233466.073344</v>
      </c>
      <c r="H606" s="156">
        <v>29853.5</v>
      </c>
      <c r="I606" s="156">
        <v>206244.36</v>
      </c>
      <c r="J606" s="156">
        <v>79920</v>
      </c>
      <c r="K606" s="131">
        <f t="shared" si="80"/>
        <v>316017.86</v>
      </c>
      <c r="L606" s="134">
        <v>0.1792</v>
      </c>
    </row>
    <row r="607" spans="3:12">
      <c r="C607" s="161">
        <f t="shared" si="78"/>
        <v>2020</v>
      </c>
      <c r="D607" s="35" t="s">
        <v>269</v>
      </c>
      <c r="E607" s="227">
        <v>44136</v>
      </c>
      <c r="F607" s="156">
        <v>1204461.04</v>
      </c>
      <c r="G607" s="131">
        <f t="shared" si="79"/>
        <v>215839.41836800001</v>
      </c>
      <c r="H607" s="156">
        <v>8603.7199999999993</v>
      </c>
      <c r="I607" s="156">
        <v>429466</v>
      </c>
      <c r="J607" s="156">
        <v>0</v>
      </c>
      <c r="K607" s="131">
        <f t="shared" si="80"/>
        <v>438069.72</v>
      </c>
      <c r="L607" s="134">
        <v>0.1792</v>
      </c>
    </row>
    <row r="608" spans="3:12">
      <c r="C608" s="161">
        <f t="shared" si="78"/>
        <v>2020</v>
      </c>
      <c r="D608" s="35" t="s">
        <v>269</v>
      </c>
      <c r="E608" s="227">
        <v>44166</v>
      </c>
      <c r="F608" s="156">
        <v>1253541.8600000001</v>
      </c>
      <c r="G608" s="131">
        <f t="shared" si="79"/>
        <v>224634.70131200002</v>
      </c>
      <c r="H608" s="156">
        <v>8458.58</v>
      </c>
      <c r="I608" s="156">
        <v>21004.45</v>
      </c>
      <c r="J608" s="156">
        <v>0</v>
      </c>
      <c r="K608" s="131">
        <f t="shared" si="80"/>
        <v>29463.03</v>
      </c>
      <c r="L608" s="134">
        <v>0.1792</v>
      </c>
    </row>
    <row r="609" spans="3:12">
      <c r="C609" s="161">
        <f t="shared" si="78"/>
        <v>2021</v>
      </c>
      <c r="D609" s="35" t="s">
        <v>269</v>
      </c>
      <c r="E609" s="227">
        <v>44197</v>
      </c>
      <c r="F609" s="156">
        <v>1295452.72</v>
      </c>
      <c r="G609" s="131">
        <f t="shared" si="79"/>
        <v>232145.12742400001</v>
      </c>
      <c r="H609" s="156">
        <v>6054.9</v>
      </c>
      <c r="I609" s="156">
        <v>293759.81</v>
      </c>
      <c r="J609" s="156">
        <v>2254</v>
      </c>
      <c r="K609" s="131">
        <f t="shared" si="80"/>
        <v>302068.71000000002</v>
      </c>
      <c r="L609" s="134">
        <v>0.1792</v>
      </c>
    </row>
    <row r="610" spans="3:12">
      <c r="C610" s="161">
        <f t="shared" si="78"/>
        <v>2021</v>
      </c>
      <c r="D610" s="35" t="s">
        <v>269</v>
      </c>
      <c r="E610" s="227">
        <v>44229</v>
      </c>
      <c r="F610" s="156">
        <v>1199191.33</v>
      </c>
      <c r="G610" s="131">
        <f t="shared" si="79"/>
        <v>214895.08633600001</v>
      </c>
      <c r="H610" s="156">
        <v>8112.77</v>
      </c>
      <c r="I610" s="156">
        <v>97781.56</v>
      </c>
      <c r="J610" s="156">
        <v>778.79</v>
      </c>
      <c r="K610" s="131">
        <f t="shared" si="80"/>
        <v>106673.12</v>
      </c>
      <c r="L610" s="134">
        <v>0.1792</v>
      </c>
    </row>
    <row r="611" spans="3:12">
      <c r="C611" s="161">
        <f t="shared" si="78"/>
        <v>2021</v>
      </c>
      <c r="D611" s="35" t="s">
        <v>269</v>
      </c>
      <c r="E611" s="227">
        <v>44258</v>
      </c>
      <c r="F611" s="156">
        <v>1093041.83</v>
      </c>
      <c r="G611" s="131">
        <f t="shared" si="79"/>
        <v>195873.095936</v>
      </c>
      <c r="H611" s="156">
        <v>14113.17</v>
      </c>
      <c r="I611" s="156">
        <v>33871.4</v>
      </c>
      <c r="J611" s="156">
        <v>4348</v>
      </c>
      <c r="K611" s="131">
        <f t="shared" si="80"/>
        <v>52332.57</v>
      </c>
      <c r="L611" s="134">
        <v>0.1792</v>
      </c>
    </row>
    <row r="612" spans="3:12">
      <c r="C612" s="161">
        <f t="shared" si="78"/>
        <v>2021</v>
      </c>
      <c r="D612" s="35" t="s">
        <v>269</v>
      </c>
      <c r="E612" s="227">
        <v>44290</v>
      </c>
      <c r="F612" s="156">
        <v>1247911.0900000001</v>
      </c>
      <c r="G612" s="131">
        <f t="shared" si="79"/>
        <v>223625.66732800001</v>
      </c>
      <c r="H612" s="156">
        <v>13661.52</v>
      </c>
      <c r="I612" s="156">
        <v>21839.9</v>
      </c>
      <c r="J612" s="156">
        <v>0</v>
      </c>
      <c r="K612" s="131">
        <f t="shared" si="80"/>
        <v>35501.42</v>
      </c>
      <c r="L612" s="134">
        <v>0.1792</v>
      </c>
    </row>
    <row r="613" spans="3:12">
      <c r="C613" s="161">
        <f t="shared" si="78"/>
        <v>2021</v>
      </c>
      <c r="D613" s="35" t="s">
        <v>269</v>
      </c>
      <c r="E613" s="227">
        <v>44321</v>
      </c>
      <c r="F613" s="156">
        <v>1146178.44</v>
      </c>
      <c r="G613" s="131">
        <f t="shared" si="79"/>
        <v>205395.17644799998</v>
      </c>
      <c r="H613" s="156">
        <v>15459.72</v>
      </c>
      <c r="I613" s="156">
        <v>21815.08</v>
      </c>
      <c r="J613" s="156">
        <v>8827</v>
      </c>
      <c r="K613" s="131">
        <f t="shared" si="80"/>
        <v>46101.8</v>
      </c>
      <c r="L613" s="134">
        <v>0.1792</v>
      </c>
    </row>
    <row r="614" spans="3:12">
      <c r="C614" s="161">
        <f t="shared" si="78"/>
        <v>2021</v>
      </c>
      <c r="D614" s="35" t="s">
        <v>269</v>
      </c>
      <c r="E614" s="227">
        <v>44353</v>
      </c>
      <c r="F614" s="156">
        <v>1162240.98</v>
      </c>
      <c r="G614" s="131">
        <f t="shared" si="79"/>
        <v>208273.58361599999</v>
      </c>
      <c r="H614" s="156">
        <v>8353.8799999999992</v>
      </c>
      <c r="I614" s="156">
        <v>21815.08</v>
      </c>
      <c r="J614" s="156">
        <v>0</v>
      </c>
      <c r="K614" s="131">
        <f t="shared" si="80"/>
        <v>30168.959999999999</v>
      </c>
      <c r="L614" s="134">
        <v>0.1792</v>
      </c>
    </row>
    <row r="615" spans="3:12">
      <c r="C615" s="161">
        <f t="shared" si="78"/>
        <v>2015</v>
      </c>
      <c r="D615" s="35" t="s">
        <v>270</v>
      </c>
      <c r="E615" s="227">
        <v>42309</v>
      </c>
      <c r="F615" s="156">
        <v>125671.03</v>
      </c>
      <c r="G615" s="131">
        <f t="shared" si="79"/>
        <v>22520.248575999998</v>
      </c>
      <c r="H615" s="156">
        <v>443.15</v>
      </c>
      <c r="I615" s="156">
        <v>0</v>
      </c>
      <c r="J615" s="156">
        <v>0</v>
      </c>
      <c r="K615" s="131">
        <f t="shared" si="80"/>
        <v>443.15</v>
      </c>
      <c r="L615" s="134">
        <v>0.1792</v>
      </c>
    </row>
    <row r="616" spans="3:12">
      <c r="C616" s="161">
        <f t="shared" si="78"/>
        <v>2015</v>
      </c>
      <c r="D616" s="35" t="s">
        <v>270</v>
      </c>
      <c r="E616" s="227">
        <v>42339</v>
      </c>
      <c r="F616" s="156">
        <v>110033.39</v>
      </c>
      <c r="G616" s="131">
        <f t="shared" si="79"/>
        <v>19717.983487999998</v>
      </c>
      <c r="H616" s="156">
        <v>653.84</v>
      </c>
      <c r="I616" s="156">
        <v>0</v>
      </c>
      <c r="J616" s="156">
        <v>0</v>
      </c>
      <c r="K616" s="131">
        <f t="shared" si="80"/>
        <v>653.84</v>
      </c>
      <c r="L616" s="134">
        <v>0.1792</v>
      </c>
    </row>
    <row r="617" spans="3:12">
      <c r="C617" s="161">
        <f t="shared" si="78"/>
        <v>2016</v>
      </c>
      <c r="D617" s="35" t="s">
        <v>270</v>
      </c>
      <c r="E617" s="227">
        <v>42370</v>
      </c>
      <c r="F617" s="156">
        <v>108312.29</v>
      </c>
      <c r="G617" s="131">
        <f t="shared" si="79"/>
        <v>19409.562367999999</v>
      </c>
      <c r="H617" s="156">
        <v>414.04</v>
      </c>
      <c r="I617" s="156">
        <v>0</v>
      </c>
      <c r="J617" s="156">
        <v>0</v>
      </c>
      <c r="K617" s="131">
        <f t="shared" si="80"/>
        <v>414.04</v>
      </c>
      <c r="L617" s="134">
        <v>0.1792</v>
      </c>
    </row>
    <row r="618" spans="3:12">
      <c r="C618" s="161">
        <f t="shared" si="78"/>
        <v>2016</v>
      </c>
      <c r="D618" s="35" t="s">
        <v>270</v>
      </c>
      <c r="E618" s="227">
        <v>42401</v>
      </c>
      <c r="F618" s="156">
        <v>119217.88</v>
      </c>
      <c r="G618" s="131">
        <f t="shared" si="79"/>
        <v>21363.844096000001</v>
      </c>
      <c r="H618" s="156">
        <v>715.05</v>
      </c>
      <c r="I618" s="156">
        <v>0</v>
      </c>
      <c r="J618" s="156">
        <v>0</v>
      </c>
      <c r="K618" s="131">
        <f t="shared" si="80"/>
        <v>715.05</v>
      </c>
      <c r="L618" s="134">
        <v>0.1792</v>
      </c>
    </row>
    <row r="619" spans="3:12">
      <c r="C619" s="161">
        <f t="shared" si="78"/>
        <v>2016</v>
      </c>
      <c r="D619" s="35" t="s">
        <v>270</v>
      </c>
      <c r="E619" s="227">
        <v>42430</v>
      </c>
      <c r="F619" s="156">
        <v>105476.92</v>
      </c>
      <c r="G619" s="131">
        <f t="shared" si="79"/>
        <v>18901.464064</v>
      </c>
      <c r="H619" s="156">
        <v>473.59</v>
      </c>
      <c r="I619" s="156">
        <v>0</v>
      </c>
      <c r="J619" s="156">
        <v>0</v>
      </c>
      <c r="K619" s="131">
        <f t="shared" si="80"/>
        <v>473.59</v>
      </c>
      <c r="L619" s="134">
        <v>0.1792</v>
      </c>
    </row>
    <row r="620" spans="3:12">
      <c r="C620" s="161">
        <f t="shared" si="78"/>
        <v>2016</v>
      </c>
      <c r="D620" s="35" t="s">
        <v>270</v>
      </c>
      <c r="E620" s="227">
        <v>42461</v>
      </c>
      <c r="F620" s="156">
        <v>116011.33</v>
      </c>
      <c r="G620" s="131">
        <f t="shared" si="79"/>
        <v>20789.230336000001</v>
      </c>
      <c r="H620" s="156">
        <v>762.75</v>
      </c>
      <c r="I620" s="156">
        <v>0</v>
      </c>
      <c r="J620" s="156">
        <v>0</v>
      </c>
      <c r="K620" s="131">
        <f t="shared" si="80"/>
        <v>762.75</v>
      </c>
      <c r="L620" s="134">
        <v>0.1792</v>
      </c>
    </row>
    <row r="621" spans="3:12">
      <c r="C621" s="161">
        <f t="shared" si="78"/>
        <v>2016</v>
      </c>
      <c r="D621" s="35" t="s">
        <v>270</v>
      </c>
      <c r="E621" s="227">
        <v>42491</v>
      </c>
      <c r="F621" s="156">
        <v>112065.59</v>
      </c>
      <c r="G621" s="131">
        <f t="shared" si="79"/>
        <v>20082.153727999997</v>
      </c>
      <c r="H621" s="156">
        <v>3165.07</v>
      </c>
      <c r="I621" s="156">
        <v>0</v>
      </c>
      <c r="J621" s="156">
        <v>0</v>
      </c>
      <c r="K621" s="131">
        <f t="shared" si="80"/>
        <v>3165.07</v>
      </c>
      <c r="L621" s="134">
        <v>0.1792</v>
      </c>
    </row>
    <row r="622" spans="3:12">
      <c r="C622" s="161">
        <f t="shared" si="78"/>
        <v>2016</v>
      </c>
      <c r="D622" s="35" t="s">
        <v>270</v>
      </c>
      <c r="E622" s="227">
        <v>42522</v>
      </c>
      <c r="F622" s="156">
        <v>108911.7</v>
      </c>
      <c r="G622" s="131">
        <f t="shared" si="79"/>
        <v>19516.976640000001</v>
      </c>
      <c r="H622" s="156">
        <v>161.68</v>
      </c>
      <c r="I622" s="156">
        <v>0</v>
      </c>
      <c r="J622" s="156">
        <v>1698</v>
      </c>
      <c r="K622" s="131">
        <f t="shared" si="80"/>
        <v>1859.68</v>
      </c>
      <c r="L622" s="134">
        <v>0.1792</v>
      </c>
    </row>
    <row r="623" spans="3:12">
      <c r="C623" s="161">
        <f t="shared" si="78"/>
        <v>2016</v>
      </c>
      <c r="D623" s="35" t="s">
        <v>270</v>
      </c>
      <c r="E623" s="227">
        <v>42552</v>
      </c>
      <c r="F623" s="156">
        <v>119437.16</v>
      </c>
      <c r="G623" s="131">
        <f t="shared" si="79"/>
        <v>21403.139072000002</v>
      </c>
      <c r="H623" s="156">
        <v>1376.37</v>
      </c>
      <c r="I623" s="156">
        <v>0</v>
      </c>
      <c r="J623" s="156">
        <v>0</v>
      </c>
      <c r="K623" s="131">
        <f t="shared" si="80"/>
        <v>1376.37</v>
      </c>
      <c r="L623" s="134">
        <v>0.1792</v>
      </c>
    </row>
    <row r="624" spans="3:12">
      <c r="C624" s="161">
        <f t="shared" si="78"/>
        <v>2016</v>
      </c>
      <c r="D624" s="35" t="s">
        <v>270</v>
      </c>
      <c r="E624" s="227">
        <v>42583</v>
      </c>
      <c r="F624" s="156">
        <v>125569.57</v>
      </c>
      <c r="G624" s="131">
        <f t="shared" si="79"/>
        <v>22502.066944000002</v>
      </c>
      <c r="H624" s="156">
        <v>2237.2600000000002</v>
      </c>
      <c r="I624" s="156">
        <v>0</v>
      </c>
      <c r="J624" s="156">
        <v>6017</v>
      </c>
      <c r="K624" s="131">
        <f t="shared" si="80"/>
        <v>8254.26</v>
      </c>
      <c r="L624" s="134">
        <v>0.1792</v>
      </c>
    </row>
    <row r="625" spans="3:12">
      <c r="C625" s="161">
        <f t="shared" si="78"/>
        <v>2016</v>
      </c>
      <c r="D625" s="35" t="s">
        <v>270</v>
      </c>
      <c r="E625" s="227">
        <v>42614</v>
      </c>
      <c r="F625" s="156">
        <v>127919.01</v>
      </c>
      <c r="G625" s="131">
        <f t="shared" si="79"/>
        <v>22923.086592</v>
      </c>
      <c r="H625" s="156">
        <v>289.26</v>
      </c>
      <c r="I625" s="156">
        <v>0</v>
      </c>
      <c r="J625" s="156">
        <v>0</v>
      </c>
      <c r="K625" s="131">
        <f t="shared" si="80"/>
        <v>289.26</v>
      </c>
      <c r="L625" s="134">
        <v>0.1792</v>
      </c>
    </row>
    <row r="626" spans="3:12">
      <c r="C626" s="161">
        <f t="shared" si="78"/>
        <v>2016</v>
      </c>
      <c r="D626" s="35" t="s">
        <v>270</v>
      </c>
      <c r="E626" s="227">
        <v>42644</v>
      </c>
      <c r="F626" s="156">
        <v>132046.07999999999</v>
      </c>
      <c r="G626" s="131">
        <f t="shared" si="79"/>
        <v>23662.657535999999</v>
      </c>
      <c r="H626" s="156">
        <v>0</v>
      </c>
      <c r="I626" s="156">
        <v>0</v>
      </c>
      <c r="J626" s="156">
        <v>478.84</v>
      </c>
      <c r="K626" s="131">
        <f t="shared" si="80"/>
        <v>478.84</v>
      </c>
      <c r="L626" s="134">
        <v>0.1792</v>
      </c>
    </row>
    <row r="627" spans="3:12">
      <c r="C627" s="161">
        <f t="shared" si="78"/>
        <v>2016</v>
      </c>
      <c r="D627" s="35" t="s">
        <v>270</v>
      </c>
      <c r="E627" s="227">
        <v>42675</v>
      </c>
      <c r="F627" s="156">
        <v>134452.10999999999</v>
      </c>
      <c r="G627" s="131">
        <f t="shared" si="79"/>
        <v>24093.818111999997</v>
      </c>
      <c r="H627" s="156">
        <v>8441</v>
      </c>
      <c r="I627" s="156">
        <v>0</v>
      </c>
      <c r="J627" s="156">
        <v>0</v>
      </c>
      <c r="K627" s="131">
        <f t="shared" si="80"/>
        <v>8441</v>
      </c>
      <c r="L627" s="134">
        <v>0.1792</v>
      </c>
    </row>
    <row r="628" spans="3:12">
      <c r="C628" s="161">
        <f t="shared" si="78"/>
        <v>2016</v>
      </c>
      <c r="D628" s="35" t="s">
        <v>270</v>
      </c>
      <c r="E628" s="227">
        <v>42705</v>
      </c>
      <c r="F628" s="156">
        <v>128424.21</v>
      </c>
      <c r="G628" s="131">
        <f t="shared" si="79"/>
        <v>23013.618431999999</v>
      </c>
      <c r="H628" s="156">
        <v>1954.49</v>
      </c>
      <c r="I628" s="156">
        <v>0</v>
      </c>
      <c r="J628" s="156">
        <v>0</v>
      </c>
      <c r="K628" s="131">
        <f t="shared" si="80"/>
        <v>1954.49</v>
      </c>
      <c r="L628" s="134">
        <v>0.1792</v>
      </c>
    </row>
    <row r="629" spans="3:12">
      <c r="C629" s="161">
        <f t="shared" si="78"/>
        <v>2017</v>
      </c>
      <c r="D629" s="35" t="s">
        <v>270</v>
      </c>
      <c r="E629" s="227">
        <v>42736</v>
      </c>
      <c r="F629" s="156">
        <v>141091.48000000001</v>
      </c>
      <c r="G629" s="131">
        <f t="shared" si="79"/>
        <v>25283.593216000001</v>
      </c>
      <c r="H629" s="156">
        <v>917.29</v>
      </c>
      <c r="I629" s="156">
        <v>0</v>
      </c>
      <c r="J629" s="156">
        <v>695.66</v>
      </c>
      <c r="K629" s="131">
        <f t="shared" si="80"/>
        <v>1612.9499999999998</v>
      </c>
      <c r="L629" s="134">
        <v>0.1792</v>
      </c>
    </row>
    <row r="630" spans="3:12">
      <c r="C630" s="161">
        <f t="shared" si="78"/>
        <v>2017</v>
      </c>
      <c r="D630" s="35" t="s">
        <v>270</v>
      </c>
      <c r="E630" s="227">
        <v>42767</v>
      </c>
      <c r="F630" s="156">
        <v>129483.02</v>
      </c>
      <c r="G630" s="131">
        <f t="shared" si="79"/>
        <v>23203.357184</v>
      </c>
      <c r="H630" s="156">
        <v>1434.48</v>
      </c>
      <c r="I630" s="156">
        <v>0</v>
      </c>
      <c r="J630" s="156">
        <v>0</v>
      </c>
      <c r="K630" s="131">
        <f t="shared" si="80"/>
        <v>1434.48</v>
      </c>
      <c r="L630" s="134">
        <v>0.1792</v>
      </c>
    </row>
    <row r="631" spans="3:12">
      <c r="C631" s="161">
        <f t="shared" si="78"/>
        <v>2017</v>
      </c>
      <c r="D631" s="35" t="s">
        <v>270</v>
      </c>
      <c r="E631" s="227">
        <v>42795</v>
      </c>
      <c r="F631" s="156">
        <v>124807.01</v>
      </c>
      <c r="G631" s="131">
        <f t="shared" si="79"/>
        <v>22365.416192000001</v>
      </c>
      <c r="H631" s="156">
        <v>667.99</v>
      </c>
      <c r="I631" s="156">
        <v>0</v>
      </c>
      <c r="J631" s="156">
        <v>1240.2</v>
      </c>
      <c r="K631" s="131">
        <f t="shared" si="80"/>
        <v>1908.19</v>
      </c>
      <c r="L631" s="134">
        <v>0.1792</v>
      </c>
    </row>
    <row r="632" spans="3:12">
      <c r="C632" s="161">
        <f t="shared" si="78"/>
        <v>2017</v>
      </c>
      <c r="D632" s="35" t="s">
        <v>270</v>
      </c>
      <c r="E632" s="227">
        <v>42826</v>
      </c>
      <c r="F632" s="156">
        <v>131603.79</v>
      </c>
      <c r="G632" s="131">
        <f t="shared" si="79"/>
        <v>23583.399168</v>
      </c>
      <c r="H632" s="156">
        <v>505.49</v>
      </c>
      <c r="I632" s="156">
        <v>0</v>
      </c>
      <c r="J632" s="156">
        <v>0</v>
      </c>
      <c r="K632" s="131">
        <f t="shared" si="80"/>
        <v>505.49</v>
      </c>
      <c r="L632" s="134">
        <v>0.1792</v>
      </c>
    </row>
    <row r="633" spans="3:12">
      <c r="C633" s="161">
        <f t="shared" si="78"/>
        <v>2017</v>
      </c>
      <c r="D633" s="35" t="s">
        <v>270</v>
      </c>
      <c r="E633" s="227">
        <v>42856</v>
      </c>
      <c r="F633" s="156">
        <v>125679.38</v>
      </c>
      <c r="G633" s="131">
        <f t="shared" si="79"/>
        <v>22521.744896</v>
      </c>
      <c r="H633" s="156">
        <v>460.73</v>
      </c>
      <c r="I633" s="156">
        <v>0</v>
      </c>
      <c r="J633" s="156">
        <v>0</v>
      </c>
      <c r="K633" s="131">
        <f t="shared" si="80"/>
        <v>460.73</v>
      </c>
      <c r="L633" s="134">
        <v>0.1792</v>
      </c>
    </row>
    <row r="634" spans="3:12">
      <c r="C634" s="161">
        <f t="shared" si="78"/>
        <v>2017</v>
      </c>
      <c r="D634" s="35" t="s">
        <v>270</v>
      </c>
      <c r="E634" s="227">
        <v>42887</v>
      </c>
      <c r="F634" s="156">
        <v>118838.46</v>
      </c>
      <c r="G634" s="131">
        <f t="shared" si="79"/>
        <v>21295.852032000003</v>
      </c>
      <c r="H634" s="156">
        <v>122.65</v>
      </c>
      <c r="I634" s="156">
        <v>0</v>
      </c>
      <c r="J634" s="156">
        <v>0</v>
      </c>
      <c r="K634" s="131">
        <f t="shared" si="80"/>
        <v>122.65</v>
      </c>
      <c r="L634" s="134">
        <v>0.1792</v>
      </c>
    </row>
    <row r="635" spans="3:12">
      <c r="C635" s="161">
        <f t="shared" si="78"/>
        <v>2017</v>
      </c>
      <c r="D635" s="35" t="s">
        <v>270</v>
      </c>
      <c r="E635" s="227">
        <v>42917</v>
      </c>
      <c r="F635" s="156">
        <v>125948.14</v>
      </c>
      <c r="G635" s="131">
        <f t="shared" si="79"/>
        <v>22569.906687999999</v>
      </c>
      <c r="H635" s="156">
        <v>53.89</v>
      </c>
      <c r="I635" s="156">
        <v>0</v>
      </c>
      <c r="J635" s="156">
        <v>0</v>
      </c>
      <c r="K635" s="131">
        <f t="shared" si="80"/>
        <v>53.89</v>
      </c>
      <c r="L635" s="134">
        <v>0.1792</v>
      </c>
    </row>
    <row r="636" spans="3:12">
      <c r="C636" s="161">
        <f t="shared" si="78"/>
        <v>2017</v>
      </c>
      <c r="D636" s="35" t="s">
        <v>270</v>
      </c>
      <c r="E636" s="227">
        <v>42948</v>
      </c>
      <c r="F636" s="156">
        <v>134440.21</v>
      </c>
      <c r="G636" s="131">
        <f t="shared" si="79"/>
        <v>24091.685631999997</v>
      </c>
      <c r="H636" s="156">
        <v>1813.17</v>
      </c>
      <c r="I636" s="156">
        <v>0</v>
      </c>
      <c r="J636" s="156">
        <v>0</v>
      </c>
      <c r="K636" s="131">
        <f t="shared" si="80"/>
        <v>1813.17</v>
      </c>
      <c r="L636" s="134">
        <v>0.1792</v>
      </c>
    </row>
    <row r="637" spans="3:12">
      <c r="C637" s="161">
        <f t="shared" si="78"/>
        <v>2017</v>
      </c>
      <c r="D637" s="35" t="s">
        <v>270</v>
      </c>
      <c r="E637" s="227">
        <v>42979</v>
      </c>
      <c r="F637" s="156">
        <v>143943.81</v>
      </c>
      <c r="G637" s="131">
        <f t="shared" si="79"/>
        <v>25794.730751999999</v>
      </c>
      <c r="H637" s="156">
        <v>53.89</v>
      </c>
      <c r="I637" s="156">
        <v>0</v>
      </c>
      <c r="J637" s="156">
        <v>0</v>
      </c>
      <c r="K637" s="131">
        <f t="shared" si="80"/>
        <v>53.89</v>
      </c>
      <c r="L637" s="134">
        <v>0.1792</v>
      </c>
    </row>
    <row r="638" spans="3:12">
      <c r="C638" s="161">
        <f t="shared" si="78"/>
        <v>2017</v>
      </c>
      <c r="D638" s="35" t="s">
        <v>270</v>
      </c>
      <c r="E638" s="227">
        <v>43009</v>
      </c>
      <c r="F638" s="156">
        <v>141167.04000000001</v>
      </c>
      <c r="G638" s="131">
        <f t="shared" si="79"/>
        <v>25297.133568000001</v>
      </c>
      <c r="H638" s="156">
        <v>392.09</v>
      </c>
      <c r="I638" s="156">
        <v>0</v>
      </c>
      <c r="J638" s="156">
        <v>0</v>
      </c>
      <c r="K638" s="131">
        <f t="shared" si="80"/>
        <v>392.09</v>
      </c>
      <c r="L638" s="134">
        <v>0.1792</v>
      </c>
    </row>
    <row r="639" spans="3:12">
      <c r="C639" s="161">
        <f t="shared" si="78"/>
        <v>2017</v>
      </c>
      <c r="D639" s="35" t="s">
        <v>270</v>
      </c>
      <c r="E639" s="227">
        <v>43040</v>
      </c>
      <c r="F639" s="156">
        <v>140044.04999999999</v>
      </c>
      <c r="G639" s="131">
        <f t="shared" si="79"/>
        <v>25095.893759999999</v>
      </c>
      <c r="H639" s="156">
        <v>247.84</v>
      </c>
      <c r="I639" s="156">
        <v>0</v>
      </c>
      <c r="J639" s="156">
        <v>0</v>
      </c>
      <c r="K639" s="131">
        <f t="shared" si="80"/>
        <v>247.84</v>
      </c>
      <c r="L639" s="134">
        <v>0.1792</v>
      </c>
    </row>
    <row r="640" spans="3:12">
      <c r="C640" s="161">
        <f t="shared" si="78"/>
        <v>2017</v>
      </c>
      <c r="D640" s="35" t="s">
        <v>270</v>
      </c>
      <c r="E640" s="227">
        <v>43070</v>
      </c>
      <c r="F640" s="156">
        <v>139023.70000000001</v>
      </c>
      <c r="G640" s="131">
        <f t="shared" si="79"/>
        <v>24913.047040000001</v>
      </c>
      <c r="H640" s="156">
        <v>0</v>
      </c>
      <c r="I640" s="156">
        <v>0</v>
      </c>
      <c r="J640" s="156">
        <v>0</v>
      </c>
      <c r="K640" s="131">
        <f t="shared" si="80"/>
        <v>0</v>
      </c>
      <c r="L640" s="134">
        <v>0.1792</v>
      </c>
    </row>
    <row r="641" spans="3:12">
      <c r="C641" s="161">
        <f t="shared" si="78"/>
        <v>2018</v>
      </c>
      <c r="D641" s="35" t="s">
        <v>270</v>
      </c>
      <c r="E641" s="227">
        <v>43101</v>
      </c>
      <c r="F641" s="156">
        <v>137353.79999999999</v>
      </c>
      <c r="G641" s="131">
        <f t="shared" si="79"/>
        <v>24613.800959999997</v>
      </c>
      <c r="H641" s="156">
        <v>235.29</v>
      </c>
      <c r="I641" s="156">
        <v>0</v>
      </c>
      <c r="J641" s="156">
        <v>0</v>
      </c>
      <c r="K641" s="131">
        <f t="shared" si="80"/>
        <v>235.29</v>
      </c>
      <c r="L641" s="134">
        <v>0.1792</v>
      </c>
    </row>
    <row r="642" spans="3:12">
      <c r="C642" s="161">
        <f t="shared" si="78"/>
        <v>2018</v>
      </c>
      <c r="D642" s="35" t="s">
        <v>270</v>
      </c>
      <c r="E642" s="227">
        <v>43132</v>
      </c>
      <c r="F642" s="156">
        <v>133631.87</v>
      </c>
      <c r="G642" s="131">
        <f t="shared" si="79"/>
        <v>23946.831103999997</v>
      </c>
      <c r="H642" s="156">
        <v>209.67</v>
      </c>
      <c r="I642" s="156">
        <v>0</v>
      </c>
      <c r="J642" s="156">
        <v>0</v>
      </c>
      <c r="K642" s="131">
        <f t="shared" si="80"/>
        <v>209.67</v>
      </c>
      <c r="L642" s="134">
        <v>0.1792</v>
      </c>
    </row>
    <row r="643" spans="3:12">
      <c r="C643" s="161">
        <f t="shared" si="78"/>
        <v>2018</v>
      </c>
      <c r="D643" s="35" t="s">
        <v>270</v>
      </c>
      <c r="E643" s="227">
        <v>43160</v>
      </c>
      <c r="F643" s="156">
        <v>126578.63</v>
      </c>
      <c r="G643" s="131">
        <f t="shared" si="79"/>
        <v>22682.890496</v>
      </c>
      <c r="H643" s="156">
        <v>445.41</v>
      </c>
      <c r="I643" s="156">
        <v>0</v>
      </c>
      <c r="J643" s="156">
        <v>0</v>
      </c>
      <c r="K643" s="131">
        <f t="shared" si="80"/>
        <v>445.41</v>
      </c>
      <c r="L643" s="134">
        <v>0.1792</v>
      </c>
    </row>
    <row r="644" spans="3:12">
      <c r="C644" s="161">
        <f t="shared" ref="C644:C707" si="81">YEAR(E644)</f>
        <v>2018</v>
      </c>
      <c r="D644" s="35" t="s">
        <v>270</v>
      </c>
      <c r="E644" s="227">
        <v>43191</v>
      </c>
      <c r="F644" s="156">
        <v>143534.20000000001</v>
      </c>
      <c r="G644" s="131">
        <f t="shared" ref="G644:G707" si="82">F644*L644</f>
        <v>25721.328640000003</v>
      </c>
      <c r="H644" s="156">
        <v>518.53</v>
      </c>
      <c r="I644" s="156">
        <v>0</v>
      </c>
      <c r="J644" s="156">
        <v>0</v>
      </c>
      <c r="K644" s="131">
        <f t="shared" ref="K644:K707" si="83">SUM(H644:J644)</f>
        <v>518.53</v>
      </c>
      <c r="L644" s="134">
        <v>0.1792</v>
      </c>
    </row>
    <row r="645" spans="3:12">
      <c r="C645" s="161">
        <f t="shared" si="81"/>
        <v>2018</v>
      </c>
      <c r="D645" s="35" t="s">
        <v>270</v>
      </c>
      <c r="E645" s="227">
        <v>43221</v>
      </c>
      <c r="F645" s="156">
        <v>143941.32</v>
      </c>
      <c r="G645" s="131">
        <f t="shared" si="82"/>
        <v>25794.284544000002</v>
      </c>
      <c r="H645" s="156">
        <v>0</v>
      </c>
      <c r="I645" s="156">
        <v>0</v>
      </c>
      <c r="J645" s="156">
        <v>0</v>
      </c>
      <c r="K645" s="131">
        <f t="shared" si="83"/>
        <v>0</v>
      </c>
      <c r="L645" s="134">
        <v>0.1792</v>
      </c>
    </row>
    <row r="646" spans="3:12">
      <c r="C646" s="161">
        <f t="shared" si="81"/>
        <v>2018</v>
      </c>
      <c r="D646" s="35" t="s">
        <v>270</v>
      </c>
      <c r="E646" s="227">
        <v>43252</v>
      </c>
      <c r="F646" s="156">
        <v>130266.65</v>
      </c>
      <c r="G646" s="131">
        <f t="shared" si="82"/>
        <v>23343.78368</v>
      </c>
      <c r="H646" s="156">
        <v>0</v>
      </c>
      <c r="I646" s="156">
        <v>0</v>
      </c>
      <c r="J646" s="156">
        <v>0</v>
      </c>
      <c r="K646" s="131">
        <f t="shared" si="83"/>
        <v>0</v>
      </c>
      <c r="L646" s="134">
        <v>0.1792</v>
      </c>
    </row>
    <row r="647" spans="3:12">
      <c r="C647" s="161">
        <f t="shared" si="81"/>
        <v>2018</v>
      </c>
      <c r="D647" s="35" t="s">
        <v>270</v>
      </c>
      <c r="E647" s="227">
        <v>43282</v>
      </c>
      <c r="F647" s="156">
        <v>137748.73000000001</v>
      </c>
      <c r="G647" s="131">
        <f t="shared" si="82"/>
        <v>24684.572416000003</v>
      </c>
      <c r="H647" s="156">
        <v>1575.23</v>
      </c>
      <c r="I647" s="156">
        <v>0</v>
      </c>
      <c r="J647" s="156">
        <v>0</v>
      </c>
      <c r="K647" s="131">
        <f t="shared" si="83"/>
        <v>1575.23</v>
      </c>
      <c r="L647" s="134">
        <v>0.1792</v>
      </c>
    </row>
    <row r="648" spans="3:12">
      <c r="C648" s="161">
        <f t="shared" si="81"/>
        <v>2018</v>
      </c>
      <c r="D648" s="35" t="s">
        <v>270</v>
      </c>
      <c r="E648" s="227">
        <v>43313</v>
      </c>
      <c r="F648" s="156">
        <v>133151.79999999999</v>
      </c>
      <c r="G648" s="131">
        <f t="shared" si="82"/>
        <v>23860.802559999996</v>
      </c>
      <c r="H648" s="156">
        <v>10.95</v>
      </c>
      <c r="I648" s="156">
        <v>0</v>
      </c>
      <c r="J648" s="156">
        <v>0</v>
      </c>
      <c r="K648" s="131">
        <f t="shared" si="83"/>
        <v>10.95</v>
      </c>
      <c r="L648" s="134">
        <v>0.1792</v>
      </c>
    </row>
    <row r="649" spans="3:12">
      <c r="C649" s="161">
        <f t="shared" si="81"/>
        <v>2018</v>
      </c>
      <c r="D649" s="35" t="s">
        <v>270</v>
      </c>
      <c r="E649" s="227">
        <v>43344</v>
      </c>
      <c r="F649" s="156">
        <v>137947.13</v>
      </c>
      <c r="G649" s="131">
        <f t="shared" si="82"/>
        <v>24720.125695999999</v>
      </c>
      <c r="H649" s="156">
        <v>10.95</v>
      </c>
      <c r="I649" s="156">
        <v>36773.21</v>
      </c>
      <c r="J649" s="156">
        <v>0</v>
      </c>
      <c r="K649" s="131">
        <f t="shared" si="83"/>
        <v>36784.159999999996</v>
      </c>
      <c r="L649" s="134">
        <v>0.1792</v>
      </c>
    </row>
    <row r="650" spans="3:12">
      <c r="C650" s="161">
        <f t="shared" si="81"/>
        <v>2018</v>
      </c>
      <c r="D650" s="35" t="s">
        <v>270</v>
      </c>
      <c r="E650" s="227">
        <v>43374</v>
      </c>
      <c r="F650" s="156">
        <v>132672.84</v>
      </c>
      <c r="G650" s="131">
        <f t="shared" si="82"/>
        <v>23774.972927999999</v>
      </c>
      <c r="H650" s="156">
        <v>0</v>
      </c>
      <c r="I650" s="156">
        <v>0</v>
      </c>
      <c r="J650" s="156">
        <v>0</v>
      </c>
      <c r="K650" s="131">
        <f t="shared" si="83"/>
        <v>0</v>
      </c>
      <c r="L650" s="134">
        <v>0.1792</v>
      </c>
    </row>
    <row r="651" spans="3:12">
      <c r="C651" s="161">
        <f t="shared" si="81"/>
        <v>2018</v>
      </c>
      <c r="D651" s="35" t="s">
        <v>270</v>
      </c>
      <c r="E651" s="227">
        <v>43405</v>
      </c>
      <c r="F651" s="156">
        <v>145621.1526</v>
      </c>
      <c r="G651" s="131">
        <f t="shared" si="82"/>
        <v>26095.310545920001</v>
      </c>
      <c r="H651" s="156">
        <v>720.95</v>
      </c>
      <c r="I651" s="156">
        <v>0</v>
      </c>
      <c r="J651" s="156">
        <v>0</v>
      </c>
      <c r="K651" s="131">
        <f t="shared" si="83"/>
        <v>720.95</v>
      </c>
      <c r="L651" s="134">
        <v>0.1792</v>
      </c>
    </row>
    <row r="652" spans="3:12">
      <c r="C652" s="161">
        <f t="shared" si="81"/>
        <v>2018</v>
      </c>
      <c r="D652" s="35" t="s">
        <v>270</v>
      </c>
      <c r="E652" s="227">
        <v>43435</v>
      </c>
      <c r="F652" s="156">
        <v>149073.04999999999</v>
      </c>
      <c r="G652" s="131">
        <f t="shared" si="82"/>
        <v>26713.890559999996</v>
      </c>
      <c r="H652" s="156">
        <v>122.47</v>
      </c>
      <c r="I652" s="156">
        <v>0</v>
      </c>
      <c r="J652" s="156">
        <v>0</v>
      </c>
      <c r="K652" s="131">
        <f t="shared" si="83"/>
        <v>122.47</v>
      </c>
      <c r="L652" s="134">
        <v>0.1792</v>
      </c>
    </row>
    <row r="653" spans="3:12">
      <c r="C653" s="161">
        <f t="shared" si="81"/>
        <v>2019</v>
      </c>
      <c r="D653" s="35" t="s">
        <v>270</v>
      </c>
      <c r="E653" s="227">
        <v>43466</v>
      </c>
      <c r="F653" s="156">
        <v>145274.35</v>
      </c>
      <c r="G653" s="131">
        <f t="shared" si="82"/>
        <v>26033.163520000002</v>
      </c>
      <c r="H653" s="156">
        <v>199.86</v>
      </c>
      <c r="I653" s="156">
        <v>0</v>
      </c>
      <c r="J653" s="156">
        <v>0</v>
      </c>
      <c r="K653" s="131">
        <f t="shared" si="83"/>
        <v>199.86</v>
      </c>
      <c r="L653" s="134">
        <v>0.1792</v>
      </c>
    </row>
    <row r="654" spans="3:12">
      <c r="C654" s="161">
        <f t="shared" si="81"/>
        <v>2019</v>
      </c>
      <c r="D654" s="35" t="s">
        <v>270</v>
      </c>
      <c r="E654" s="227">
        <v>43497</v>
      </c>
      <c r="F654" s="156">
        <v>155486.5</v>
      </c>
      <c r="G654" s="131">
        <f t="shared" si="82"/>
        <v>27863.180799999998</v>
      </c>
      <c r="H654" s="156">
        <v>688.34</v>
      </c>
      <c r="I654" s="156">
        <v>0</v>
      </c>
      <c r="J654" s="156">
        <v>0</v>
      </c>
      <c r="K654" s="131">
        <f t="shared" si="83"/>
        <v>688.34</v>
      </c>
      <c r="L654" s="134">
        <v>0.1792</v>
      </c>
    </row>
    <row r="655" spans="3:12">
      <c r="C655" s="161">
        <f t="shared" si="81"/>
        <v>2019</v>
      </c>
      <c r="D655" s="35" t="s">
        <v>270</v>
      </c>
      <c r="E655" s="227">
        <v>43525</v>
      </c>
      <c r="F655" s="156">
        <v>130802.57</v>
      </c>
      <c r="G655" s="131">
        <f t="shared" si="82"/>
        <v>23439.820544000002</v>
      </c>
      <c r="H655" s="156">
        <v>364.93</v>
      </c>
      <c r="I655" s="156">
        <v>24515.47</v>
      </c>
      <c r="J655" s="156">
        <v>0</v>
      </c>
      <c r="K655" s="131">
        <f t="shared" si="83"/>
        <v>24880.400000000001</v>
      </c>
      <c r="L655" s="134">
        <v>0.1792</v>
      </c>
    </row>
    <row r="656" spans="3:12">
      <c r="C656" s="161">
        <f t="shared" si="81"/>
        <v>2019</v>
      </c>
      <c r="D656" s="35" t="s">
        <v>270</v>
      </c>
      <c r="E656" s="227">
        <v>43556</v>
      </c>
      <c r="F656" s="156">
        <v>140228.44</v>
      </c>
      <c r="G656" s="131">
        <f t="shared" si="82"/>
        <v>25128.936448</v>
      </c>
      <c r="H656" s="156">
        <v>52.41</v>
      </c>
      <c r="I656" s="156">
        <v>2086.5300000000002</v>
      </c>
      <c r="J656" s="156">
        <v>0</v>
      </c>
      <c r="K656" s="131">
        <f t="shared" si="83"/>
        <v>2138.94</v>
      </c>
      <c r="L656" s="134">
        <v>0.1792</v>
      </c>
    </row>
    <row r="657" spans="3:12">
      <c r="C657" s="161">
        <f t="shared" si="81"/>
        <v>2019</v>
      </c>
      <c r="D657" s="35" t="s">
        <v>270</v>
      </c>
      <c r="E657" s="227">
        <v>43586</v>
      </c>
      <c r="F657" s="156">
        <v>141605.10999999999</v>
      </c>
      <c r="G657" s="131">
        <f t="shared" si="82"/>
        <v>25375.635711999996</v>
      </c>
      <c r="H657" s="156">
        <v>53.97</v>
      </c>
      <c r="I657" s="156">
        <v>0</v>
      </c>
      <c r="J657" s="156">
        <v>0</v>
      </c>
      <c r="K657" s="131">
        <f t="shared" si="83"/>
        <v>53.97</v>
      </c>
      <c r="L657" s="134">
        <v>0.1792</v>
      </c>
    </row>
    <row r="658" spans="3:12">
      <c r="C658" s="161">
        <f t="shared" si="81"/>
        <v>2019</v>
      </c>
      <c r="D658" s="35" t="s">
        <v>270</v>
      </c>
      <c r="E658" s="227">
        <v>43617</v>
      </c>
      <c r="F658" s="156">
        <v>131985.18</v>
      </c>
      <c r="G658" s="131">
        <f t="shared" si="82"/>
        <v>23651.744255999998</v>
      </c>
      <c r="H658" s="156">
        <v>7128.24</v>
      </c>
      <c r="I658" s="156">
        <v>0</v>
      </c>
      <c r="J658" s="156">
        <v>0</v>
      </c>
      <c r="K658" s="131">
        <f t="shared" si="83"/>
        <v>7128.24</v>
      </c>
      <c r="L658" s="134">
        <v>0.1792</v>
      </c>
    </row>
    <row r="659" spans="3:12">
      <c r="C659" s="161">
        <f t="shared" si="81"/>
        <v>2019</v>
      </c>
      <c r="D659" s="35" t="s">
        <v>270</v>
      </c>
      <c r="E659" s="227">
        <v>43647</v>
      </c>
      <c r="F659" s="156">
        <v>134737.38</v>
      </c>
      <c r="G659" s="131">
        <f t="shared" si="82"/>
        <v>24144.938495999999</v>
      </c>
      <c r="H659" s="156">
        <v>886.69</v>
      </c>
      <c r="I659" s="156">
        <v>0</v>
      </c>
      <c r="J659" s="156">
        <v>0</v>
      </c>
      <c r="K659" s="131">
        <f t="shared" si="83"/>
        <v>886.69</v>
      </c>
      <c r="L659" s="134">
        <v>0.1792</v>
      </c>
    </row>
    <row r="660" spans="3:12">
      <c r="C660" s="161">
        <f t="shared" si="81"/>
        <v>2019</v>
      </c>
      <c r="D660" s="35" t="s">
        <v>270</v>
      </c>
      <c r="E660" s="227">
        <v>43678</v>
      </c>
      <c r="F660" s="156">
        <v>150811.87</v>
      </c>
      <c r="G660" s="131">
        <f t="shared" si="82"/>
        <v>27025.487104</v>
      </c>
      <c r="H660" s="156">
        <v>404.98</v>
      </c>
      <c r="I660" s="156">
        <v>0</v>
      </c>
      <c r="J660" s="156">
        <v>0</v>
      </c>
      <c r="K660" s="131">
        <f t="shared" si="83"/>
        <v>404.98</v>
      </c>
      <c r="L660" s="134">
        <v>0.1792</v>
      </c>
    </row>
    <row r="661" spans="3:12">
      <c r="C661" s="161">
        <f t="shared" si="81"/>
        <v>2019</v>
      </c>
      <c r="D661" s="35" t="s">
        <v>270</v>
      </c>
      <c r="E661" s="227">
        <v>43709</v>
      </c>
      <c r="F661" s="156">
        <v>162922.75</v>
      </c>
      <c r="G661" s="131">
        <f t="shared" si="82"/>
        <v>29195.756799999999</v>
      </c>
      <c r="H661" s="156">
        <v>555.54999999999995</v>
      </c>
      <c r="I661" s="156">
        <v>0</v>
      </c>
      <c r="J661" s="156">
        <v>0</v>
      </c>
      <c r="K661" s="131">
        <f t="shared" si="83"/>
        <v>555.54999999999995</v>
      </c>
      <c r="L661" s="134">
        <v>0.1792</v>
      </c>
    </row>
    <row r="662" spans="3:12">
      <c r="C662" s="161">
        <f t="shared" si="81"/>
        <v>2019</v>
      </c>
      <c r="D662" s="35" t="s">
        <v>270</v>
      </c>
      <c r="E662" s="227">
        <v>43739</v>
      </c>
      <c r="F662" s="156">
        <v>147727.41</v>
      </c>
      <c r="G662" s="131">
        <f t="shared" si="82"/>
        <v>26472.751872000001</v>
      </c>
      <c r="H662" s="156">
        <v>501.69</v>
      </c>
      <c r="I662" s="156">
        <v>58552.160000000003</v>
      </c>
      <c r="J662" s="156">
        <v>0</v>
      </c>
      <c r="K662" s="131">
        <f t="shared" si="83"/>
        <v>59053.850000000006</v>
      </c>
      <c r="L662" s="134">
        <v>0.1792</v>
      </c>
    </row>
    <row r="663" spans="3:12">
      <c r="C663" s="161">
        <f t="shared" si="81"/>
        <v>2019</v>
      </c>
      <c r="D663" s="35" t="s">
        <v>270</v>
      </c>
      <c r="E663" s="227">
        <v>43770</v>
      </c>
      <c r="F663" s="156">
        <v>163820.28</v>
      </c>
      <c r="G663" s="131">
        <f t="shared" si="82"/>
        <v>29356.594175999999</v>
      </c>
      <c r="H663" s="156">
        <v>112.62</v>
      </c>
      <c r="I663" s="156">
        <v>47247.31</v>
      </c>
      <c r="J663" s="156">
        <v>0</v>
      </c>
      <c r="K663" s="131">
        <f t="shared" si="83"/>
        <v>47359.93</v>
      </c>
      <c r="L663" s="134">
        <v>0.1792</v>
      </c>
    </row>
    <row r="664" spans="3:12">
      <c r="C664" s="161">
        <f t="shared" si="81"/>
        <v>2019</v>
      </c>
      <c r="D664" s="35" t="s">
        <v>270</v>
      </c>
      <c r="E664" s="227">
        <v>43800</v>
      </c>
      <c r="F664" s="156">
        <v>152760.84</v>
      </c>
      <c r="G664" s="131">
        <f t="shared" si="82"/>
        <v>27374.742527999999</v>
      </c>
      <c r="H664" s="156">
        <v>297.08</v>
      </c>
      <c r="I664" s="156">
        <v>17883.060000000001</v>
      </c>
      <c r="J664" s="156">
        <v>0</v>
      </c>
      <c r="K664" s="131">
        <f t="shared" si="83"/>
        <v>18180.140000000003</v>
      </c>
      <c r="L664" s="134">
        <v>0.1792</v>
      </c>
    </row>
    <row r="665" spans="3:12">
      <c r="C665" s="161">
        <f t="shared" si="81"/>
        <v>2020</v>
      </c>
      <c r="D665" s="35" t="s">
        <v>270</v>
      </c>
      <c r="E665" s="227">
        <v>43831</v>
      </c>
      <c r="F665" s="156">
        <v>143461</v>
      </c>
      <c r="G665" s="131">
        <f t="shared" si="82"/>
        <v>25708.211200000002</v>
      </c>
      <c r="H665" s="156">
        <v>123.2</v>
      </c>
      <c r="I665" s="156">
        <v>0</v>
      </c>
      <c r="J665" s="156">
        <v>0</v>
      </c>
      <c r="K665" s="131">
        <f t="shared" si="83"/>
        <v>123.2</v>
      </c>
      <c r="L665" s="134">
        <v>0.1792</v>
      </c>
    </row>
    <row r="666" spans="3:12">
      <c r="C666" s="161">
        <f t="shared" si="81"/>
        <v>2020</v>
      </c>
      <c r="D666" s="35" t="s">
        <v>270</v>
      </c>
      <c r="E666" s="227">
        <v>43862</v>
      </c>
      <c r="F666" s="156">
        <v>151375.95000000001</v>
      </c>
      <c r="G666" s="131">
        <f t="shared" si="82"/>
        <v>27126.570240000001</v>
      </c>
      <c r="H666" s="156">
        <v>2155.83</v>
      </c>
      <c r="I666" s="156">
        <v>0.01</v>
      </c>
      <c r="J666" s="156">
        <v>0</v>
      </c>
      <c r="K666" s="131">
        <f t="shared" si="83"/>
        <v>2155.84</v>
      </c>
      <c r="L666" s="134">
        <v>0.1792</v>
      </c>
    </row>
    <row r="667" spans="3:12">
      <c r="C667" s="161">
        <f t="shared" si="81"/>
        <v>2020</v>
      </c>
      <c r="D667" s="35" t="s">
        <v>270</v>
      </c>
      <c r="E667" s="227">
        <v>43891</v>
      </c>
      <c r="F667" s="156">
        <v>154239.20819999999</v>
      </c>
      <c r="G667" s="131">
        <f t="shared" si="82"/>
        <v>27639.666109439997</v>
      </c>
      <c r="H667" s="156">
        <v>11089.02</v>
      </c>
      <c r="I667" s="156">
        <v>43054.19</v>
      </c>
      <c r="J667" s="156">
        <v>0</v>
      </c>
      <c r="K667" s="131">
        <f t="shared" si="83"/>
        <v>54143.210000000006</v>
      </c>
      <c r="L667" s="134">
        <v>0.1792</v>
      </c>
    </row>
    <row r="668" spans="3:12">
      <c r="C668" s="161">
        <f t="shared" si="81"/>
        <v>2020</v>
      </c>
      <c r="D668" s="35" t="s">
        <v>270</v>
      </c>
      <c r="E668" s="227">
        <v>43922</v>
      </c>
      <c r="F668" s="156">
        <v>154068.07185000001</v>
      </c>
      <c r="G668" s="131">
        <f t="shared" si="82"/>
        <v>27608.998475520002</v>
      </c>
      <c r="H668" s="156">
        <v>915.58</v>
      </c>
      <c r="I668" s="156">
        <v>0</v>
      </c>
      <c r="J668" s="156">
        <v>0</v>
      </c>
      <c r="K668" s="131">
        <f t="shared" si="83"/>
        <v>915.58</v>
      </c>
      <c r="L668" s="134">
        <v>0.1792</v>
      </c>
    </row>
    <row r="669" spans="3:12">
      <c r="C669" s="161">
        <f t="shared" si="81"/>
        <v>2020</v>
      </c>
      <c r="D669" s="35" t="s">
        <v>270</v>
      </c>
      <c r="E669" s="227">
        <v>43952</v>
      </c>
      <c r="F669" s="156">
        <v>143356.03</v>
      </c>
      <c r="G669" s="131">
        <f t="shared" si="82"/>
        <v>25689.400576</v>
      </c>
      <c r="H669" s="156">
        <v>80618.34</v>
      </c>
      <c r="I669" s="156">
        <v>0</v>
      </c>
      <c r="J669" s="156">
        <v>0</v>
      </c>
      <c r="K669" s="131">
        <f t="shared" si="83"/>
        <v>80618.34</v>
      </c>
      <c r="L669" s="134">
        <v>0.1792</v>
      </c>
    </row>
    <row r="670" spans="3:12">
      <c r="C670" s="161">
        <f t="shared" si="81"/>
        <v>2020</v>
      </c>
      <c r="D670" s="35" t="s">
        <v>270</v>
      </c>
      <c r="E670" s="227">
        <v>43983</v>
      </c>
      <c r="F670" s="156">
        <v>143902.85999999999</v>
      </c>
      <c r="G670" s="131">
        <f t="shared" si="82"/>
        <v>25787.392511999999</v>
      </c>
      <c r="H670" s="156">
        <v>14640.6</v>
      </c>
      <c r="I670" s="156">
        <v>0</v>
      </c>
      <c r="J670" s="156">
        <v>0</v>
      </c>
      <c r="K670" s="131">
        <f t="shared" si="83"/>
        <v>14640.6</v>
      </c>
      <c r="L670" s="134">
        <v>0.1792</v>
      </c>
    </row>
    <row r="671" spans="3:12">
      <c r="C671" s="161">
        <f t="shared" si="81"/>
        <v>2020</v>
      </c>
      <c r="D671" s="35" t="s">
        <v>270</v>
      </c>
      <c r="E671" s="227">
        <v>44013</v>
      </c>
      <c r="F671" s="156">
        <v>138416.82</v>
      </c>
      <c r="G671" s="131">
        <f t="shared" si="82"/>
        <v>24804.294144</v>
      </c>
      <c r="H671" s="156">
        <v>1214.1099999999999</v>
      </c>
      <c r="I671" s="156">
        <v>0</v>
      </c>
      <c r="J671" s="156">
        <v>0</v>
      </c>
      <c r="K671" s="131">
        <f t="shared" si="83"/>
        <v>1214.1099999999999</v>
      </c>
      <c r="L671" s="134">
        <v>0.1792</v>
      </c>
    </row>
    <row r="672" spans="3:12">
      <c r="C672" s="161">
        <f t="shared" si="81"/>
        <v>2020</v>
      </c>
      <c r="D672" s="35" t="s">
        <v>270</v>
      </c>
      <c r="E672" s="227">
        <v>44044</v>
      </c>
      <c r="F672" s="156">
        <v>152795.95000000001</v>
      </c>
      <c r="G672" s="131">
        <f t="shared" si="82"/>
        <v>27381.034240000001</v>
      </c>
      <c r="H672" s="156">
        <v>2870.31</v>
      </c>
      <c r="I672" s="156">
        <v>73804.56</v>
      </c>
      <c r="J672" s="156">
        <v>0</v>
      </c>
      <c r="K672" s="131">
        <f t="shared" si="83"/>
        <v>76674.87</v>
      </c>
      <c r="L672" s="134">
        <v>0.1792</v>
      </c>
    </row>
    <row r="673" spans="3:12">
      <c r="C673" s="161">
        <f t="shared" si="81"/>
        <v>2020</v>
      </c>
      <c r="D673" s="35" t="s">
        <v>270</v>
      </c>
      <c r="E673" s="227">
        <v>44075</v>
      </c>
      <c r="F673" s="156">
        <v>171514.48</v>
      </c>
      <c r="G673" s="131">
        <f t="shared" si="82"/>
        <v>30735.394816</v>
      </c>
      <c r="H673" s="156">
        <v>2356.2399999999998</v>
      </c>
      <c r="I673" s="156">
        <v>3495.66</v>
      </c>
      <c r="J673" s="156">
        <v>0</v>
      </c>
      <c r="K673" s="131">
        <f t="shared" si="83"/>
        <v>5851.9</v>
      </c>
      <c r="L673" s="134">
        <v>0.1792</v>
      </c>
    </row>
    <row r="674" spans="3:12">
      <c r="C674" s="161">
        <f t="shared" si="81"/>
        <v>2020</v>
      </c>
      <c r="D674" s="35" t="s">
        <v>270</v>
      </c>
      <c r="E674" s="227">
        <v>44105</v>
      </c>
      <c r="F674" s="156">
        <v>179164.89</v>
      </c>
      <c r="G674" s="131">
        <f t="shared" si="82"/>
        <v>32106.348288000001</v>
      </c>
      <c r="H674" s="156">
        <v>447.7</v>
      </c>
      <c r="I674" s="156">
        <v>33327.19</v>
      </c>
      <c r="J674" s="156">
        <v>0</v>
      </c>
      <c r="K674" s="131">
        <f t="shared" si="83"/>
        <v>33774.89</v>
      </c>
      <c r="L674" s="134">
        <v>0.1792</v>
      </c>
    </row>
    <row r="675" spans="3:12">
      <c r="C675" s="161">
        <f t="shared" si="81"/>
        <v>2020</v>
      </c>
      <c r="D675" s="35" t="s">
        <v>270</v>
      </c>
      <c r="E675" s="227">
        <v>44136</v>
      </c>
      <c r="F675" s="156">
        <v>171607.12</v>
      </c>
      <c r="G675" s="131">
        <f t="shared" si="82"/>
        <v>30751.995903999999</v>
      </c>
      <c r="H675" s="156">
        <v>332.88</v>
      </c>
      <c r="I675" s="156">
        <v>92</v>
      </c>
      <c r="J675" s="156">
        <v>0</v>
      </c>
      <c r="K675" s="131">
        <f t="shared" si="83"/>
        <v>424.88</v>
      </c>
      <c r="L675" s="134">
        <v>0.1792</v>
      </c>
    </row>
    <row r="676" spans="3:12">
      <c r="C676" s="161">
        <f t="shared" si="81"/>
        <v>2020</v>
      </c>
      <c r="D676" s="35" t="s">
        <v>270</v>
      </c>
      <c r="E676" s="227">
        <v>44166</v>
      </c>
      <c r="F676" s="156">
        <v>176675.32</v>
      </c>
      <c r="G676" s="131">
        <f t="shared" si="82"/>
        <v>31660.217344000001</v>
      </c>
      <c r="H676" s="156">
        <v>417.56</v>
      </c>
      <c r="I676" s="156">
        <v>18255.32</v>
      </c>
      <c r="J676" s="156">
        <v>0</v>
      </c>
      <c r="K676" s="131">
        <f t="shared" si="83"/>
        <v>18672.88</v>
      </c>
      <c r="L676" s="134">
        <v>0.1792</v>
      </c>
    </row>
    <row r="677" spans="3:12">
      <c r="C677" s="161">
        <f t="shared" si="81"/>
        <v>2021</v>
      </c>
      <c r="D677" s="35" t="s">
        <v>270</v>
      </c>
      <c r="E677" s="227">
        <v>44197</v>
      </c>
      <c r="F677" s="156">
        <v>180940.78</v>
      </c>
      <c r="G677" s="131">
        <f t="shared" si="82"/>
        <v>32424.587776</v>
      </c>
      <c r="H677" s="156">
        <v>358.84</v>
      </c>
      <c r="I677" s="156">
        <v>14677.61</v>
      </c>
      <c r="J677" s="156">
        <v>0</v>
      </c>
      <c r="K677" s="131">
        <f t="shared" si="83"/>
        <v>15036.45</v>
      </c>
      <c r="L677" s="134">
        <v>0.1792</v>
      </c>
    </row>
    <row r="678" spans="3:12">
      <c r="C678" s="161">
        <f t="shared" si="81"/>
        <v>2021</v>
      </c>
      <c r="D678" s="35" t="s">
        <v>270</v>
      </c>
      <c r="E678" s="227">
        <v>44229</v>
      </c>
      <c r="F678" s="156">
        <v>167152.37</v>
      </c>
      <c r="G678" s="131">
        <f t="shared" si="82"/>
        <v>29953.704704</v>
      </c>
      <c r="H678" s="156">
        <v>0</v>
      </c>
      <c r="I678" s="156">
        <v>7640.6</v>
      </c>
      <c r="J678" s="156">
        <v>0</v>
      </c>
      <c r="K678" s="131">
        <f t="shared" si="83"/>
        <v>7640.6</v>
      </c>
      <c r="L678" s="134">
        <v>0.1792</v>
      </c>
    </row>
    <row r="679" spans="3:12">
      <c r="C679" s="161">
        <f t="shared" si="81"/>
        <v>2021</v>
      </c>
      <c r="D679" s="35" t="s">
        <v>270</v>
      </c>
      <c r="E679" s="227">
        <v>44258</v>
      </c>
      <c r="F679" s="156">
        <v>169613.82</v>
      </c>
      <c r="G679" s="131">
        <f t="shared" si="82"/>
        <v>30394.796544000001</v>
      </c>
      <c r="H679" s="156">
        <v>650.03</v>
      </c>
      <c r="I679" s="156">
        <v>76149.41</v>
      </c>
      <c r="J679" s="156">
        <v>0</v>
      </c>
      <c r="K679" s="131">
        <f t="shared" si="83"/>
        <v>76799.44</v>
      </c>
      <c r="L679" s="134">
        <v>0.1792</v>
      </c>
    </row>
    <row r="680" spans="3:12">
      <c r="C680" s="161">
        <f t="shared" si="81"/>
        <v>2021</v>
      </c>
      <c r="D680" s="35" t="s">
        <v>270</v>
      </c>
      <c r="E680" s="227">
        <v>44290</v>
      </c>
      <c r="F680" s="156">
        <v>184787.6</v>
      </c>
      <c r="G680" s="131">
        <f t="shared" si="82"/>
        <v>33113.937920000004</v>
      </c>
      <c r="H680" s="156">
        <v>15120.37</v>
      </c>
      <c r="I680" s="156">
        <v>574.30999999999995</v>
      </c>
      <c r="J680" s="156">
        <v>0</v>
      </c>
      <c r="K680" s="131">
        <f t="shared" si="83"/>
        <v>15694.68</v>
      </c>
      <c r="L680" s="134">
        <v>0.1792</v>
      </c>
    </row>
    <row r="681" spans="3:12">
      <c r="C681" s="161">
        <f t="shared" si="81"/>
        <v>2021</v>
      </c>
      <c r="D681" s="35" t="s">
        <v>270</v>
      </c>
      <c r="E681" s="227">
        <v>44321</v>
      </c>
      <c r="F681" s="156">
        <v>162822.57</v>
      </c>
      <c r="G681" s="131">
        <f t="shared" si="82"/>
        <v>29177.804544000002</v>
      </c>
      <c r="H681" s="156">
        <v>3320.12</v>
      </c>
      <c r="I681" s="156">
        <v>646.17999999999995</v>
      </c>
      <c r="J681" s="156">
        <v>0</v>
      </c>
      <c r="K681" s="131">
        <f t="shared" si="83"/>
        <v>3966.2999999999997</v>
      </c>
      <c r="L681" s="134">
        <v>0.1792</v>
      </c>
    </row>
    <row r="682" spans="3:12">
      <c r="C682" s="161">
        <f t="shared" si="81"/>
        <v>2021</v>
      </c>
      <c r="D682" s="35" t="s">
        <v>270</v>
      </c>
      <c r="E682" s="227">
        <v>44353</v>
      </c>
      <c r="F682" s="156">
        <v>162506.13</v>
      </c>
      <c r="G682" s="131">
        <f t="shared" si="82"/>
        <v>29121.098496000002</v>
      </c>
      <c r="H682" s="156">
        <v>292.93</v>
      </c>
      <c r="I682" s="156">
        <v>646.17999999999995</v>
      </c>
      <c r="J682" s="156">
        <v>0</v>
      </c>
      <c r="K682" s="131">
        <f t="shared" si="83"/>
        <v>939.1099999999999</v>
      </c>
      <c r="L682" s="134">
        <v>0.1792</v>
      </c>
    </row>
    <row r="683" spans="3:12">
      <c r="C683" s="161">
        <f t="shared" si="81"/>
        <v>2015</v>
      </c>
      <c r="D683" s="35" t="s">
        <v>271</v>
      </c>
      <c r="E683" s="227">
        <v>42309</v>
      </c>
      <c r="F683" s="156">
        <v>369225.3</v>
      </c>
      <c r="G683" s="131">
        <f t="shared" si="82"/>
        <v>66165.173759999991</v>
      </c>
      <c r="H683" s="156">
        <v>2230</v>
      </c>
      <c r="I683" s="156">
        <v>0</v>
      </c>
      <c r="J683" s="156">
        <v>0</v>
      </c>
      <c r="K683" s="131">
        <f t="shared" si="83"/>
        <v>2230</v>
      </c>
      <c r="L683" s="134">
        <v>0.1792</v>
      </c>
    </row>
    <row r="684" spans="3:12">
      <c r="C684" s="161">
        <f t="shared" si="81"/>
        <v>2015</v>
      </c>
      <c r="D684" s="35" t="s">
        <v>271</v>
      </c>
      <c r="E684" s="227">
        <v>42339</v>
      </c>
      <c r="F684" s="156">
        <v>320426.46000000002</v>
      </c>
      <c r="G684" s="131">
        <f t="shared" si="82"/>
        <v>57420.421632000005</v>
      </c>
      <c r="H684" s="156">
        <v>2271.85</v>
      </c>
      <c r="I684" s="156">
        <v>0</v>
      </c>
      <c r="J684" s="156">
        <v>0</v>
      </c>
      <c r="K684" s="131">
        <f t="shared" si="83"/>
        <v>2271.85</v>
      </c>
      <c r="L684" s="134">
        <v>0.1792</v>
      </c>
    </row>
    <row r="685" spans="3:12">
      <c r="C685" s="161">
        <f t="shared" si="81"/>
        <v>2016</v>
      </c>
      <c r="D685" s="35" t="s">
        <v>271</v>
      </c>
      <c r="E685" s="227">
        <v>42370</v>
      </c>
      <c r="F685" s="156">
        <v>357956.43</v>
      </c>
      <c r="G685" s="131">
        <f t="shared" si="82"/>
        <v>64145.792256000001</v>
      </c>
      <c r="H685" s="156">
        <v>5892.13</v>
      </c>
      <c r="I685" s="156">
        <v>0</v>
      </c>
      <c r="J685" s="156">
        <v>0</v>
      </c>
      <c r="K685" s="131">
        <f t="shared" si="83"/>
        <v>5892.13</v>
      </c>
      <c r="L685" s="134">
        <v>0.1792</v>
      </c>
    </row>
    <row r="686" spans="3:12">
      <c r="C686" s="161">
        <f t="shared" si="81"/>
        <v>2016</v>
      </c>
      <c r="D686" s="35" t="s">
        <v>271</v>
      </c>
      <c r="E686" s="227">
        <v>42401</v>
      </c>
      <c r="F686" s="156">
        <v>369178</v>
      </c>
      <c r="G686" s="131">
        <f t="shared" si="82"/>
        <v>66156.6976</v>
      </c>
      <c r="H686" s="156">
        <v>2624.67</v>
      </c>
      <c r="I686" s="156">
        <v>0</v>
      </c>
      <c r="J686" s="156">
        <v>0</v>
      </c>
      <c r="K686" s="131">
        <f t="shared" si="83"/>
        <v>2624.67</v>
      </c>
      <c r="L686" s="134">
        <v>0.1792</v>
      </c>
    </row>
    <row r="687" spans="3:12">
      <c r="C687" s="161">
        <f t="shared" si="81"/>
        <v>2016</v>
      </c>
      <c r="D687" s="35" t="s">
        <v>271</v>
      </c>
      <c r="E687" s="227">
        <v>42430</v>
      </c>
      <c r="F687" s="156">
        <v>319919.33</v>
      </c>
      <c r="G687" s="131">
        <f t="shared" si="82"/>
        <v>57329.543936000002</v>
      </c>
      <c r="H687" s="156">
        <v>7600.67</v>
      </c>
      <c r="I687" s="156">
        <v>120667.82</v>
      </c>
      <c r="J687" s="156">
        <v>0</v>
      </c>
      <c r="K687" s="131">
        <f t="shared" si="83"/>
        <v>128268.49</v>
      </c>
      <c r="L687" s="134">
        <v>0.1792</v>
      </c>
    </row>
    <row r="688" spans="3:12">
      <c r="C688" s="161">
        <f t="shared" si="81"/>
        <v>2016</v>
      </c>
      <c r="D688" s="35" t="s">
        <v>271</v>
      </c>
      <c r="E688" s="227">
        <v>42461</v>
      </c>
      <c r="F688" s="156">
        <v>388997.42</v>
      </c>
      <c r="G688" s="131">
        <f t="shared" si="82"/>
        <v>69708.337663999991</v>
      </c>
      <c r="H688" s="156">
        <v>1650.82</v>
      </c>
      <c r="I688" s="156">
        <v>94528.58</v>
      </c>
      <c r="J688" s="156">
        <v>0</v>
      </c>
      <c r="K688" s="131">
        <f t="shared" si="83"/>
        <v>96179.400000000009</v>
      </c>
      <c r="L688" s="134">
        <v>0.1792</v>
      </c>
    </row>
    <row r="689" spans="3:12">
      <c r="C689" s="161">
        <f t="shared" si="81"/>
        <v>2016</v>
      </c>
      <c r="D689" s="35" t="s">
        <v>271</v>
      </c>
      <c r="E689" s="227">
        <v>42491</v>
      </c>
      <c r="F689" s="156">
        <v>327052.44</v>
      </c>
      <c r="G689" s="131">
        <f t="shared" si="82"/>
        <v>58607.797248000003</v>
      </c>
      <c r="H689" s="156">
        <v>10572.79</v>
      </c>
      <c r="I689" s="156">
        <v>49046.91</v>
      </c>
      <c r="J689" s="156">
        <v>458.5</v>
      </c>
      <c r="K689" s="131">
        <f t="shared" si="83"/>
        <v>60078.200000000004</v>
      </c>
      <c r="L689" s="134">
        <v>0.1792</v>
      </c>
    </row>
    <row r="690" spans="3:12">
      <c r="C690" s="161">
        <f t="shared" si="81"/>
        <v>2016</v>
      </c>
      <c r="D690" s="35" t="s">
        <v>271</v>
      </c>
      <c r="E690" s="227">
        <v>42522</v>
      </c>
      <c r="F690" s="156">
        <v>318472.59000000003</v>
      </c>
      <c r="G690" s="131">
        <f t="shared" si="82"/>
        <v>57070.288128000007</v>
      </c>
      <c r="H690" s="156">
        <v>4503.66</v>
      </c>
      <c r="I690" s="156">
        <v>0</v>
      </c>
      <c r="J690" s="156">
        <v>9973.35</v>
      </c>
      <c r="K690" s="131">
        <f t="shared" si="83"/>
        <v>14477.01</v>
      </c>
      <c r="L690" s="134">
        <v>0.1792</v>
      </c>
    </row>
    <row r="691" spans="3:12">
      <c r="C691" s="161">
        <f t="shared" si="81"/>
        <v>2016</v>
      </c>
      <c r="D691" s="35" t="s">
        <v>271</v>
      </c>
      <c r="E691" s="227">
        <v>42552</v>
      </c>
      <c r="F691" s="156">
        <v>349125.78</v>
      </c>
      <c r="G691" s="131">
        <f t="shared" si="82"/>
        <v>62563.339776000008</v>
      </c>
      <c r="H691" s="156">
        <v>6743.5</v>
      </c>
      <c r="I691" s="156">
        <v>0</v>
      </c>
      <c r="J691" s="156">
        <v>0</v>
      </c>
      <c r="K691" s="131">
        <f t="shared" si="83"/>
        <v>6743.5</v>
      </c>
      <c r="L691" s="134">
        <v>0.1792</v>
      </c>
    </row>
    <row r="692" spans="3:12">
      <c r="C692" s="161">
        <f t="shared" si="81"/>
        <v>2016</v>
      </c>
      <c r="D692" s="35" t="s">
        <v>271</v>
      </c>
      <c r="E692" s="227">
        <v>42583</v>
      </c>
      <c r="F692" s="156">
        <v>382015.46</v>
      </c>
      <c r="G692" s="131">
        <f t="shared" si="82"/>
        <v>68457.170431999999</v>
      </c>
      <c r="H692" s="156">
        <v>4161.0600000000004</v>
      </c>
      <c r="I692" s="156">
        <v>142901.54</v>
      </c>
      <c r="J692" s="156">
        <v>2700</v>
      </c>
      <c r="K692" s="131">
        <f t="shared" si="83"/>
        <v>149762.6</v>
      </c>
      <c r="L692" s="134">
        <v>0.1792</v>
      </c>
    </row>
    <row r="693" spans="3:12">
      <c r="C693" s="161">
        <f t="shared" si="81"/>
        <v>2016</v>
      </c>
      <c r="D693" s="35" t="s">
        <v>271</v>
      </c>
      <c r="E693" s="227">
        <v>42614</v>
      </c>
      <c r="F693" s="156">
        <v>377077.48</v>
      </c>
      <c r="G693" s="131">
        <f t="shared" si="82"/>
        <v>67572.284415999995</v>
      </c>
      <c r="H693" s="156">
        <v>4962.99</v>
      </c>
      <c r="I693" s="156">
        <v>97405.69</v>
      </c>
      <c r="J693" s="156">
        <v>0</v>
      </c>
      <c r="K693" s="131">
        <f t="shared" si="83"/>
        <v>102368.68000000001</v>
      </c>
      <c r="L693" s="134">
        <v>0.1792</v>
      </c>
    </row>
    <row r="694" spans="3:12">
      <c r="C694" s="161">
        <f t="shared" si="81"/>
        <v>2016</v>
      </c>
      <c r="D694" s="35" t="s">
        <v>271</v>
      </c>
      <c r="E694" s="227">
        <v>42644</v>
      </c>
      <c r="F694" s="156">
        <v>384454.9</v>
      </c>
      <c r="G694" s="131">
        <f t="shared" si="82"/>
        <v>68894.318079999997</v>
      </c>
      <c r="H694" s="156">
        <v>2184.3000000000002</v>
      </c>
      <c r="I694" s="156">
        <v>0.01</v>
      </c>
      <c r="J694" s="156">
        <v>2037</v>
      </c>
      <c r="K694" s="131">
        <f t="shared" si="83"/>
        <v>4221.3100000000004</v>
      </c>
      <c r="L694" s="134">
        <v>0.1792</v>
      </c>
    </row>
    <row r="695" spans="3:12">
      <c r="C695" s="161">
        <f t="shared" si="81"/>
        <v>2016</v>
      </c>
      <c r="D695" s="35" t="s">
        <v>271</v>
      </c>
      <c r="E695" s="227">
        <v>42675</v>
      </c>
      <c r="F695" s="156">
        <v>413847.91</v>
      </c>
      <c r="G695" s="131">
        <f t="shared" si="82"/>
        <v>74161.545471999998</v>
      </c>
      <c r="H695" s="156">
        <v>4479</v>
      </c>
      <c r="I695" s="156">
        <v>77698.539999999994</v>
      </c>
      <c r="J695" s="156">
        <v>0</v>
      </c>
      <c r="K695" s="131">
        <f t="shared" si="83"/>
        <v>82177.539999999994</v>
      </c>
      <c r="L695" s="134">
        <v>0.1792</v>
      </c>
    </row>
    <row r="696" spans="3:12">
      <c r="C696" s="161">
        <f t="shared" si="81"/>
        <v>2016</v>
      </c>
      <c r="D696" s="35" t="s">
        <v>271</v>
      </c>
      <c r="E696" s="227">
        <v>42705</v>
      </c>
      <c r="F696" s="156">
        <v>418932.63</v>
      </c>
      <c r="G696" s="131">
        <f t="shared" si="82"/>
        <v>75072.727295999997</v>
      </c>
      <c r="H696" s="156">
        <v>2975.18</v>
      </c>
      <c r="I696" s="156">
        <v>0</v>
      </c>
      <c r="J696" s="156">
        <v>0</v>
      </c>
      <c r="K696" s="131">
        <f t="shared" si="83"/>
        <v>2975.18</v>
      </c>
      <c r="L696" s="134">
        <v>0.1792</v>
      </c>
    </row>
    <row r="697" spans="3:12">
      <c r="C697" s="161">
        <f t="shared" si="81"/>
        <v>2017</v>
      </c>
      <c r="D697" s="35" t="s">
        <v>271</v>
      </c>
      <c r="E697" s="227">
        <v>42736</v>
      </c>
      <c r="F697" s="156">
        <v>408876.42</v>
      </c>
      <c r="G697" s="131">
        <f t="shared" si="82"/>
        <v>73270.654463999992</v>
      </c>
      <c r="H697" s="156">
        <v>3016.4</v>
      </c>
      <c r="I697" s="156">
        <v>124717.54</v>
      </c>
      <c r="J697" s="156">
        <v>602.20000000000005</v>
      </c>
      <c r="K697" s="131">
        <f t="shared" si="83"/>
        <v>128336.13999999998</v>
      </c>
      <c r="L697" s="134">
        <v>0.1792</v>
      </c>
    </row>
    <row r="698" spans="3:12">
      <c r="C698" s="161">
        <f t="shared" si="81"/>
        <v>2017</v>
      </c>
      <c r="D698" s="35" t="s">
        <v>271</v>
      </c>
      <c r="E698" s="227">
        <v>42767</v>
      </c>
      <c r="F698" s="156">
        <v>407902.71999999997</v>
      </c>
      <c r="G698" s="131">
        <f t="shared" si="82"/>
        <v>73096.167423999999</v>
      </c>
      <c r="H698" s="156">
        <v>4161.8900000000003</v>
      </c>
      <c r="I698" s="156">
        <v>0</v>
      </c>
      <c r="J698" s="156">
        <v>974.2</v>
      </c>
      <c r="K698" s="131">
        <f t="shared" si="83"/>
        <v>5136.09</v>
      </c>
      <c r="L698" s="134">
        <v>0.1792</v>
      </c>
    </row>
    <row r="699" spans="3:12">
      <c r="C699" s="161">
        <f t="shared" si="81"/>
        <v>2017</v>
      </c>
      <c r="D699" s="35" t="s">
        <v>271</v>
      </c>
      <c r="E699" s="227">
        <v>42795</v>
      </c>
      <c r="F699" s="156">
        <v>379757.11</v>
      </c>
      <c r="G699" s="131">
        <f t="shared" si="82"/>
        <v>68052.474111999996</v>
      </c>
      <c r="H699" s="156">
        <v>2361.88</v>
      </c>
      <c r="I699" s="156">
        <v>0</v>
      </c>
      <c r="J699" s="156">
        <v>559</v>
      </c>
      <c r="K699" s="131">
        <f t="shared" si="83"/>
        <v>2920.88</v>
      </c>
      <c r="L699" s="134">
        <v>0.1792</v>
      </c>
    </row>
    <row r="700" spans="3:12">
      <c r="C700" s="161">
        <f t="shared" si="81"/>
        <v>2017</v>
      </c>
      <c r="D700" s="35" t="s">
        <v>271</v>
      </c>
      <c r="E700" s="227">
        <v>42826</v>
      </c>
      <c r="F700" s="156">
        <v>400766.22</v>
      </c>
      <c r="G700" s="131">
        <f t="shared" si="82"/>
        <v>71817.30662399999</v>
      </c>
      <c r="H700" s="156">
        <v>2588.16</v>
      </c>
      <c r="I700" s="156">
        <v>0</v>
      </c>
      <c r="J700" s="156">
        <v>0</v>
      </c>
      <c r="K700" s="131">
        <f t="shared" si="83"/>
        <v>2588.16</v>
      </c>
      <c r="L700" s="134">
        <v>0.1792</v>
      </c>
    </row>
    <row r="701" spans="3:12">
      <c r="C701" s="161">
        <f t="shared" si="81"/>
        <v>2017</v>
      </c>
      <c r="D701" s="35" t="s">
        <v>271</v>
      </c>
      <c r="E701" s="227">
        <v>42856</v>
      </c>
      <c r="F701" s="156">
        <v>364556.64</v>
      </c>
      <c r="G701" s="131">
        <f t="shared" si="82"/>
        <v>65328.549888000001</v>
      </c>
      <c r="H701" s="156">
        <v>3348.71</v>
      </c>
      <c r="I701" s="156">
        <v>0</v>
      </c>
      <c r="J701" s="156">
        <v>0</v>
      </c>
      <c r="K701" s="131">
        <f t="shared" si="83"/>
        <v>3348.71</v>
      </c>
      <c r="L701" s="134">
        <v>0.1792</v>
      </c>
    </row>
    <row r="702" spans="3:12">
      <c r="C702" s="161">
        <f t="shared" si="81"/>
        <v>2017</v>
      </c>
      <c r="D702" s="35" t="s">
        <v>271</v>
      </c>
      <c r="E702" s="227">
        <v>42887</v>
      </c>
      <c r="F702" s="156">
        <v>372890.02</v>
      </c>
      <c r="G702" s="131">
        <f t="shared" si="82"/>
        <v>66821.891583999997</v>
      </c>
      <c r="H702" s="156">
        <v>5770.39</v>
      </c>
      <c r="I702" s="156">
        <v>87729.85</v>
      </c>
      <c r="J702" s="156">
        <v>0</v>
      </c>
      <c r="K702" s="131">
        <f t="shared" si="83"/>
        <v>93500.24</v>
      </c>
      <c r="L702" s="134">
        <v>0.1792</v>
      </c>
    </row>
    <row r="703" spans="3:12">
      <c r="C703" s="161">
        <f t="shared" si="81"/>
        <v>2017</v>
      </c>
      <c r="D703" s="35" t="s">
        <v>271</v>
      </c>
      <c r="E703" s="227">
        <v>42917</v>
      </c>
      <c r="F703" s="156">
        <v>386913.04</v>
      </c>
      <c r="G703" s="131">
        <f t="shared" si="82"/>
        <v>69334.81676799999</v>
      </c>
      <c r="H703" s="156">
        <v>9745.82</v>
      </c>
      <c r="I703" s="156">
        <v>3510.04</v>
      </c>
      <c r="J703" s="156">
        <v>0</v>
      </c>
      <c r="K703" s="131">
        <f t="shared" si="83"/>
        <v>13255.86</v>
      </c>
      <c r="L703" s="134">
        <v>0.1792</v>
      </c>
    </row>
    <row r="704" spans="3:12">
      <c r="C704" s="161">
        <f t="shared" si="81"/>
        <v>2017</v>
      </c>
      <c r="D704" s="35" t="s">
        <v>271</v>
      </c>
      <c r="E704" s="227">
        <v>42948</v>
      </c>
      <c r="F704" s="156">
        <v>446076.56</v>
      </c>
      <c r="G704" s="131">
        <f t="shared" si="82"/>
        <v>79936.919551999992</v>
      </c>
      <c r="H704" s="156">
        <v>6612.03</v>
      </c>
      <c r="I704" s="156">
        <v>0</v>
      </c>
      <c r="J704" s="156">
        <v>684.92</v>
      </c>
      <c r="K704" s="131">
        <f t="shared" si="83"/>
        <v>7296.95</v>
      </c>
      <c r="L704" s="134">
        <v>0.1792</v>
      </c>
    </row>
    <row r="705" spans="3:12">
      <c r="C705" s="161">
        <f t="shared" si="81"/>
        <v>2017</v>
      </c>
      <c r="D705" s="35" t="s">
        <v>271</v>
      </c>
      <c r="E705" s="227">
        <v>42979</v>
      </c>
      <c r="F705" s="156">
        <v>478824.06</v>
      </c>
      <c r="G705" s="131">
        <f t="shared" si="82"/>
        <v>85805.271552000006</v>
      </c>
      <c r="H705" s="156">
        <v>5570.64</v>
      </c>
      <c r="I705" s="156">
        <v>0</v>
      </c>
      <c r="J705" s="156">
        <v>0</v>
      </c>
      <c r="K705" s="131">
        <f t="shared" si="83"/>
        <v>5570.64</v>
      </c>
      <c r="L705" s="134">
        <v>0.1792</v>
      </c>
    </row>
    <row r="706" spans="3:12">
      <c r="C706" s="161">
        <f t="shared" si="81"/>
        <v>2017</v>
      </c>
      <c r="D706" s="35" t="s">
        <v>271</v>
      </c>
      <c r="E706" s="227">
        <v>43009</v>
      </c>
      <c r="F706" s="156">
        <v>479096.38</v>
      </c>
      <c r="G706" s="131">
        <f t="shared" si="82"/>
        <v>85854.071295999995</v>
      </c>
      <c r="H706" s="156">
        <v>6739.72</v>
      </c>
      <c r="I706" s="156">
        <v>58310.96</v>
      </c>
      <c r="J706" s="156">
        <v>0</v>
      </c>
      <c r="K706" s="131">
        <f t="shared" si="83"/>
        <v>65050.68</v>
      </c>
      <c r="L706" s="134">
        <v>0.1792</v>
      </c>
    </row>
    <row r="707" spans="3:12">
      <c r="C707" s="161">
        <f t="shared" si="81"/>
        <v>2017</v>
      </c>
      <c r="D707" s="35" t="s">
        <v>271</v>
      </c>
      <c r="E707" s="227">
        <v>43040</v>
      </c>
      <c r="F707" s="156">
        <v>497456.69</v>
      </c>
      <c r="G707" s="131">
        <f t="shared" si="82"/>
        <v>89144.238847999994</v>
      </c>
      <c r="H707" s="156">
        <v>4381.8</v>
      </c>
      <c r="I707" s="156">
        <v>72565.52</v>
      </c>
      <c r="J707" s="156">
        <v>138500</v>
      </c>
      <c r="K707" s="131">
        <f t="shared" si="83"/>
        <v>215447.32</v>
      </c>
      <c r="L707" s="134">
        <v>0.1792</v>
      </c>
    </row>
    <row r="708" spans="3:12">
      <c r="C708" s="161">
        <f t="shared" ref="C708:C771" si="84">YEAR(E708)</f>
        <v>2017</v>
      </c>
      <c r="D708" s="35" t="s">
        <v>271</v>
      </c>
      <c r="E708" s="227">
        <v>43070</v>
      </c>
      <c r="F708" s="156">
        <v>458727.25</v>
      </c>
      <c r="G708" s="131">
        <f t="shared" ref="G708:G771" si="85">F708*L708</f>
        <v>82203.923200000005</v>
      </c>
      <c r="H708" s="156">
        <v>1822.44</v>
      </c>
      <c r="I708" s="156">
        <v>172608.52</v>
      </c>
      <c r="J708" s="156">
        <v>16000</v>
      </c>
      <c r="K708" s="131">
        <f t="shared" ref="K708:K771" si="86">SUM(H708:J708)</f>
        <v>190430.96</v>
      </c>
      <c r="L708" s="134">
        <v>0.1792</v>
      </c>
    </row>
    <row r="709" spans="3:12">
      <c r="C709" s="161">
        <f t="shared" si="84"/>
        <v>2018</v>
      </c>
      <c r="D709" s="35" t="s">
        <v>271</v>
      </c>
      <c r="E709" s="227">
        <v>43101</v>
      </c>
      <c r="F709" s="156">
        <v>437190.16</v>
      </c>
      <c r="G709" s="131">
        <f t="shared" si="85"/>
        <v>78344.47667199999</v>
      </c>
      <c r="H709" s="156">
        <v>4303.2299999999996</v>
      </c>
      <c r="I709" s="156">
        <v>2980.51</v>
      </c>
      <c r="J709" s="156">
        <v>0</v>
      </c>
      <c r="K709" s="131">
        <f t="shared" si="86"/>
        <v>7283.74</v>
      </c>
      <c r="L709" s="134">
        <v>0.1792</v>
      </c>
    </row>
    <row r="710" spans="3:12">
      <c r="C710" s="161">
        <f t="shared" si="84"/>
        <v>2018</v>
      </c>
      <c r="D710" s="35" t="s">
        <v>271</v>
      </c>
      <c r="E710" s="227">
        <v>43132</v>
      </c>
      <c r="F710" s="156">
        <v>487540.97</v>
      </c>
      <c r="G710" s="131">
        <f t="shared" si="85"/>
        <v>87367.341823999988</v>
      </c>
      <c r="H710" s="156">
        <v>3234.2</v>
      </c>
      <c r="I710" s="156">
        <v>-36087.660000000003</v>
      </c>
      <c r="J710" s="156">
        <v>-32853.46</v>
      </c>
      <c r="K710" s="131">
        <f t="shared" si="86"/>
        <v>-65706.920000000013</v>
      </c>
      <c r="L710" s="134">
        <v>0.1792</v>
      </c>
    </row>
    <row r="711" spans="3:12">
      <c r="C711" s="161">
        <f t="shared" si="84"/>
        <v>2018</v>
      </c>
      <c r="D711" s="35" t="s">
        <v>271</v>
      </c>
      <c r="E711" s="227">
        <v>43160</v>
      </c>
      <c r="F711" s="156">
        <v>422932.82</v>
      </c>
      <c r="G711" s="131">
        <f t="shared" si="85"/>
        <v>75789.561344000002</v>
      </c>
      <c r="H711" s="156">
        <v>6950.99</v>
      </c>
      <c r="I711" s="156">
        <v>0</v>
      </c>
      <c r="J711" s="156">
        <v>0</v>
      </c>
      <c r="K711" s="131">
        <f t="shared" si="86"/>
        <v>6950.99</v>
      </c>
      <c r="L711" s="134">
        <v>0.1792</v>
      </c>
    </row>
    <row r="712" spans="3:12">
      <c r="C712" s="161">
        <f t="shared" si="84"/>
        <v>2018</v>
      </c>
      <c r="D712" s="35" t="s">
        <v>271</v>
      </c>
      <c r="E712" s="227">
        <v>43191</v>
      </c>
      <c r="F712" s="156">
        <v>452785.69</v>
      </c>
      <c r="G712" s="131">
        <f t="shared" si="85"/>
        <v>81139.195647999994</v>
      </c>
      <c r="H712" s="156">
        <v>2915.77</v>
      </c>
      <c r="I712" s="156">
        <v>0</v>
      </c>
      <c r="J712" s="156">
        <v>2169</v>
      </c>
      <c r="K712" s="131">
        <f t="shared" si="86"/>
        <v>5084.7700000000004</v>
      </c>
      <c r="L712" s="134">
        <v>0.1792</v>
      </c>
    </row>
    <row r="713" spans="3:12">
      <c r="C713" s="161">
        <f t="shared" si="84"/>
        <v>2018</v>
      </c>
      <c r="D713" s="35" t="s">
        <v>271</v>
      </c>
      <c r="E713" s="227">
        <v>43221</v>
      </c>
      <c r="F713" s="156">
        <v>424274.12</v>
      </c>
      <c r="G713" s="131">
        <f t="shared" si="85"/>
        <v>76029.922303999992</v>
      </c>
      <c r="H713" s="156">
        <v>4572.07</v>
      </c>
      <c r="I713" s="156">
        <v>2132.4</v>
      </c>
      <c r="J713" s="156">
        <v>1350</v>
      </c>
      <c r="K713" s="131">
        <f t="shared" si="86"/>
        <v>8054.4699999999993</v>
      </c>
      <c r="L713" s="134">
        <v>0.1792</v>
      </c>
    </row>
    <row r="714" spans="3:12">
      <c r="C714" s="161">
        <f t="shared" si="84"/>
        <v>2018</v>
      </c>
      <c r="D714" s="35" t="s">
        <v>271</v>
      </c>
      <c r="E714" s="227">
        <v>43252</v>
      </c>
      <c r="F714" s="156">
        <v>376523.88</v>
      </c>
      <c r="G714" s="131">
        <f t="shared" si="85"/>
        <v>67473.079295999996</v>
      </c>
      <c r="H714" s="156">
        <v>2599.08</v>
      </c>
      <c r="I714" s="156">
        <v>0</v>
      </c>
      <c r="J714" s="156">
        <v>0</v>
      </c>
      <c r="K714" s="131">
        <f t="shared" si="86"/>
        <v>2599.08</v>
      </c>
      <c r="L714" s="134">
        <v>0.1792</v>
      </c>
    </row>
    <row r="715" spans="3:12">
      <c r="C715" s="161">
        <f t="shared" si="84"/>
        <v>2018</v>
      </c>
      <c r="D715" s="35" t="s">
        <v>271</v>
      </c>
      <c r="E715" s="227">
        <v>43282</v>
      </c>
      <c r="F715" s="156">
        <v>391873.84</v>
      </c>
      <c r="G715" s="131">
        <f t="shared" si="85"/>
        <v>70223.792128000001</v>
      </c>
      <c r="H715" s="156">
        <v>1692.23</v>
      </c>
      <c r="I715" s="156">
        <v>0</v>
      </c>
      <c r="J715" s="156">
        <v>0</v>
      </c>
      <c r="K715" s="131">
        <f t="shared" si="86"/>
        <v>1692.23</v>
      </c>
      <c r="L715" s="134">
        <v>0.1792</v>
      </c>
    </row>
    <row r="716" spans="3:12">
      <c r="C716" s="161">
        <f t="shared" si="84"/>
        <v>2018</v>
      </c>
      <c r="D716" s="35" t="s">
        <v>271</v>
      </c>
      <c r="E716" s="227">
        <v>43313</v>
      </c>
      <c r="F716" s="156">
        <v>384378.81</v>
      </c>
      <c r="G716" s="131">
        <f t="shared" si="85"/>
        <v>68880.682751999993</v>
      </c>
      <c r="H716" s="156">
        <v>1979.3</v>
      </c>
      <c r="I716" s="156">
        <v>2154.33</v>
      </c>
      <c r="J716" s="156">
        <v>0</v>
      </c>
      <c r="K716" s="131">
        <f t="shared" si="86"/>
        <v>4133.63</v>
      </c>
      <c r="L716" s="134">
        <v>0.1792</v>
      </c>
    </row>
    <row r="717" spans="3:12">
      <c r="C717" s="161">
        <f t="shared" si="84"/>
        <v>2018</v>
      </c>
      <c r="D717" s="35" t="s">
        <v>271</v>
      </c>
      <c r="E717" s="227">
        <v>43344</v>
      </c>
      <c r="F717" s="156">
        <v>403343.97</v>
      </c>
      <c r="G717" s="131">
        <f t="shared" si="85"/>
        <v>72279.239423999999</v>
      </c>
      <c r="H717" s="156">
        <v>1358.25</v>
      </c>
      <c r="I717" s="156">
        <v>1600.89</v>
      </c>
      <c r="J717" s="156">
        <v>0</v>
      </c>
      <c r="K717" s="131">
        <f t="shared" si="86"/>
        <v>2959.1400000000003</v>
      </c>
      <c r="L717" s="134">
        <v>0.1792</v>
      </c>
    </row>
    <row r="718" spans="3:12">
      <c r="C718" s="161">
        <f t="shared" si="84"/>
        <v>2018</v>
      </c>
      <c r="D718" s="35" t="s">
        <v>271</v>
      </c>
      <c r="E718" s="227">
        <v>43374</v>
      </c>
      <c r="F718" s="156">
        <v>408977.23</v>
      </c>
      <c r="G718" s="131">
        <f t="shared" si="85"/>
        <v>73288.719616000002</v>
      </c>
      <c r="H718" s="156">
        <v>2115.38</v>
      </c>
      <c r="I718" s="156">
        <v>210204.91</v>
      </c>
      <c r="J718" s="156">
        <v>0</v>
      </c>
      <c r="K718" s="131">
        <f t="shared" si="86"/>
        <v>212320.29</v>
      </c>
      <c r="L718" s="134">
        <v>0.1792</v>
      </c>
    </row>
    <row r="719" spans="3:12">
      <c r="C719" s="161">
        <f t="shared" si="84"/>
        <v>2018</v>
      </c>
      <c r="D719" s="35" t="s">
        <v>271</v>
      </c>
      <c r="E719" s="227">
        <v>43405</v>
      </c>
      <c r="F719" s="156">
        <v>416832.78202500002</v>
      </c>
      <c r="G719" s="131">
        <f t="shared" si="85"/>
        <v>74696.434538879999</v>
      </c>
      <c r="H719" s="156">
        <v>3875.93</v>
      </c>
      <c r="I719" s="156">
        <v>1309.1199999999999</v>
      </c>
      <c r="J719" s="156">
        <v>0</v>
      </c>
      <c r="K719" s="131">
        <f t="shared" si="86"/>
        <v>5185.0499999999993</v>
      </c>
      <c r="L719" s="134">
        <v>0.1792</v>
      </c>
    </row>
    <row r="720" spans="3:12">
      <c r="C720" s="161">
        <f t="shared" si="84"/>
        <v>2018</v>
      </c>
      <c r="D720" s="35" t="s">
        <v>271</v>
      </c>
      <c r="E720" s="227">
        <v>43435</v>
      </c>
      <c r="F720" s="156">
        <v>453240.28</v>
      </c>
      <c r="G720" s="131">
        <f t="shared" si="85"/>
        <v>81220.658175999997</v>
      </c>
      <c r="H720" s="156">
        <v>2784.91</v>
      </c>
      <c r="I720" s="156">
        <v>1935.27</v>
      </c>
      <c r="J720" s="156">
        <v>622.6</v>
      </c>
      <c r="K720" s="131">
        <f t="shared" si="86"/>
        <v>5342.7800000000007</v>
      </c>
      <c r="L720" s="134">
        <v>0.1792</v>
      </c>
    </row>
    <row r="721" spans="3:12">
      <c r="C721" s="161">
        <f t="shared" si="84"/>
        <v>2019</v>
      </c>
      <c r="D721" s="35" t="s">
        <v>271</v>
      </c>
      <c r="E721" s="227">
        <v>43466</v>
      </c>
      <c r="F721" s="156">
        <v>523127.11</v>
      </c>
      <c r="G721" s="131">
        <f t="shared" si="85"/>
        <v>93744.378111999991</v>
      </c>
      <c r="H721" s="156">
        <v>3046.12</v>
      </c>
      <c r="I721" s="156">
        <v>3836.32</v>
      </c>
      <c r="J721" s="156">
        <v>0</v>
      </c>
      <c r="K721" s="131">
        <f t="shared" si="86"/>
        <v>6882.4400000000005</v>
      </c>
      <c r="L721" s="134">
        <v>0.1792</v>
      </c>
    </row>
    <row r="722" spans="3:12">
      <c r="C722" s="161">
        <f t="shared" si="84"/>
        <v>2019</v>
      </c>
      <c r="D722" s="35" t="s">
        <v>271</v>
      </c>
      <c r="E722" s="227">
        <v>43497</v>
      </c>
      <c r="F722" s="156">
        <v>483140.65</v>
      </c>
      <c r="G722" s="131">
        <f t="shared" si="85"/>
        <v>86578.804480000006</v>
      </c>
      <c r="H722" s="156">
        <v>1623.13</v>
      </c>
      <c r="I722" s="156">
        <v>0</v>
      </c>
      <c r="J722" s="156">
        <v>0</v>
      </c>
      <c r="K722" s="131">
        <f t="shared" si="86"/>
        <v>1623.13</v>
      </c>
      <c r="L722" s="134">
        <v>0.1792</v>
      </c>
    </row>
    <row r="723" spans="3:12">
      <c r="C723" s="161">
        <f t="shared" si="84"/>
        <v>2019</v>
      </c>
      <c r="D723" s="35" t="s">
        <v>271</v>
      </c>
      <c r="E723" s="227">
        <v>43525</v>
      </c>
      <c r="F723" s="156">
        <v>401481.89</v>
      </c>
      <c r="G723" s="131">
        <f t="shared" si="85"/>
        <v>71945.554688000004</v>
      </c>
      <c r="H723" s="156">
        <v>1520.05</v>
      </c>
      <c r="I723" s="156">
        <v>1238.03</v>
      </c>
      <c r="J723" s="156">
        <v>600.20000000000005</v>
      </c>
      <c r="K723" s="131">
        <f t="shared" si="86"/>
        <v>3358.2799999999997</v>
      </c>
      <c r="L723" s="134">
        <v>0.1792</v>
      </c>
    </row>
    <row r="724" spans="3:12">
      <c r="C724" s="161">
        <f t="shared" si="84"/>
        <v>2019</v>
      </c>
      <c r="D724" s="35" t="s">
        <v>271</v>
      </c>
      <c r="E724" s="227">
        <v>43556</v>
      </c>
      <c r="F724" s="156">
        <v>466109.73</v>
      </c>
      <c r="G724" s="131">
        <f t="shared" si="85"/>
        <v>83526.863616000002</v>
      </c>
      <c r="H724" s="156">
        <v>17802.150000000001</v>
      </c>
      <c r="I724" s="156">
        <v>25765.81</v>
      </c>
      <c r="J724" s="156">
        <v>0</v>
      </c>
      <c r="K724" s="131">
        <f t="shared" si="86"/>
        <v>43567.960000000006</v>
      </c>
      <c r="L724" s="134">
        <v>0.1792</v>
      </c>
    </row>
    <row r="725" spans="3:12">
      <c r="C725" s="161">
        <f t="shared" si="84"/>
        <v>2019</v>
      </c>
      <c r="D725" s="35" t="s">
        <v>271</v>
      </c>
      <c r="E725" s="227">
        <v>43586</v>
      </c>
      <c r="F725" s="156">
        <v>444969.12</v>
      </c>
      <c r="G725" s="131">
        <f t="shared" si="85"/>
        <v>79738.466304000001</v>
      </c>
      <c r="H725" s="156">
        <v>18566.150000000001</v>
      </c>
      <c r="I725" s="156">
        <v>7935.99</v>
      </c>
      <c r="J725" s="156">
        <v>0</v>
      </c>
      <c r="K725" s="131">
        <f t="shared" si="86"/>
        <v>26502.14</v>
      </c>
      <c r="L725" s="134">
        <v>0.1792</v>
      </c>
    </row>
    <row r="726" spans="3:12">
      <c r="C726" s="161">
        <f t="shared" si="84"/>
        <v>2019</v>
      </c>
      <c r="D726" s="35" t="s">
        <v>271</v>
      </c>
      <c r="E726" s="227">
        <v>43617</v>
      </c>
      <c r="F726" s="156">
        <v>422106.2</v>
      </c>
      <c r="G726" s="131">
        <f t="shared" si="85"/>
        <v>75641.431039999996</v>
      </c>
      <c r="H726" s="156">
        <v>267782.88</v>
      </c>
      <c r="I726" s="156">
        <v>318821.59000000003</v>
      </c>
      <c r="J726" s="156">
        <v>0</v>
      </c>
      <c r="K726" s="131">
        <f t="shared" si="86"/>
        <v>586604.47</v>
      </c>
      <c r="L726" s="134">
        <v>0.1792</v>
      </c>
    </row>
    <row r="727" spans="3:12">
      <c r="C727" s="161">
        <f t="shared" si="84"/>
        <v>2019</v>
      </c>
      <c r="D727" s="35" t="s">
        <v>271</v>
      </c>
      <c r="E727" s="227">
        <v>43647</v>
      </c>
      <c r="F727" s="156">
        <v>425650.56</v>
      </c>
      <c r="G727" s="131">
        <f t="shared" si="85"/>
        <v>76276.580352000004</v>
      </c>
      <c r="H727" s="156">
        <v>472703.26</v>
      </c>
      <c r="I727" s="156">
        <v>5285.54</v>
      </c>
      <c r="J727" s="156">
        <v>0</v>
      </c>
      <c r="K727" s="131">
        <f t="shared" si="86"/>
        <v>477988.8</v>
      </c>
      <c r="L727" s="134">
        <v>0.1792</v>
      </c>
    </row>
    <row r="728" spans="3:12">
      <c r="C728" s="161">
        <f t="shared" si="84"/>
        <v>2019</v>
      </c>
      <c r="D728" s="35" t="s">
        <v>271</v>
      </c>
      <c r="E728" s="227">
        <v>43678</v>
      </c>
      <c r="F728" s="156">
        <v>478512.48</v>
      </c>
      <c r="G728" s="131">
        <f t="shared" si="85"/>
        <v>85749.436415999997</v>
      </c>
      <c r="H728" s="156">
        <v>2737.9</v>
      </c>
      <c r="I728" s="156">
        <v>54720.05</v>
      </c>
      <c r="J728" s="156">
        <v>0</v>
      </c>
      <c r="K728" s="131">
        <f t="shared" si="86"/>
        <v>57457.950000000004</v>
      </c>
      <c r="L728" s="134">
        <v>0.1792</v>
      </c>
    </row>
    <row r="729" spans="3:12">
      <c r="C729" s="161">
        <f t="shared" si="84"/>
        <v>2019</v>
      </c>
      <c r="D729" s="35" t="s">
        <v>271</v>
      </c>
      <c r="E729" s="227">
        <v>43709</v>
      </c>
      <c r="F729" s="156">
        <v>552273.35</v>
      </c>
      <c r="G729" s="131">
        <f t="shared" si="85"/>
        <v>98967.384319999997</v>
      </c>
      <c r="H729" s="156">
        <v>2460.62</v>
      </c>
      <c r="I729" s="156">
        <v>3150.11</v>
      </c>
      <c r="J729" s="156">
        <v>0</v>
      </c>
      <c r="K729" s="131">
        <f t="shared" si="86"/>
        <v>5610.73</v>
      </c>
      <c r="L729" s="134">
        <v>0.1792</v>
      </c>
    </row>
    <row r="730" spans="3:12">
      <c r="C730" s="161">
        <f t="shared" si="84"/>
        <v>2019</v>
      </c>
      <c r="D730" s="35" t="s">
        <v>271</v>
      </c>
      <c r="E730" s="227">
        <v>43739</v>
      </c>
      <c r="F730" s="156">
        <v>521285.43</v>
      </c>
      <c r="G730" s="131">
        <f t="shared" si="85"/>
        <v>93414.349055999992</v>
      </c>
      <c r="H730" s="156">
        <v>5598.88</v>
      </c>
      <c r="I730" s="156">
        <v>1515.85</v>
      </c>
      <c r="J730" s="156">
        <v>0</v>
      </c>
      <c r="K730" s="131">
        <f t="shared" si="86"/>
        <v>7114.73</v>
      </c>
      <c r="L730" s="134">
        <v>0.1792</v>
      </c>
    </row>
    <row r="731" spans="3:12">
      <c r="C731" s="161">
        <f t="shared" si="84"/>
        <v>2019</v>
      </c>
      <c r="D731" s="35" t="s">
        <v>271</v>
      </c>
      <c r="E731" s="227">
        <v>43770</v>
      </c>
      <c r="F731" s="156">
        <v>554014.98</v>
      </c>
      <c r="G731" s="131">
        <f t="shared" si="85"/>
        <v>99279.484415999992</v>
      </c>
      <c r="H731" s="156">
        <v>2603.13</v>
      </c>
      <c r="I731" s="156">
        <v>349630.8</v>
      </c>
      <c r="J731" s="156">
        <v>0</v>
      </c>
      <c r="K731" s="131">
        <f t="shared" si="86"/>
        <v>352233.93</v>
      </c>
      <c r="L731" s="134">
        <v>0.1792</v>
      </c>
    </row>
    <row r="732" spans="3:12">
      <c r="C732" s="161">
        <f t="shared" si="84"/>
        <v>2019</v>
      </c>
      <c r="D732" s="35" t="s">
        <v>271</v>
      </c>
      <c r="E732" s="227">
        <v>43800</v>
      </c>
      <c r="F732" s="156">
        <v>489330.28</v>
      </c>
      <c r="G732" s="131">
        <f t="shared" si="85"/>
        <v>87687.986176000006</v>
      </c>
      <c r="H732" s="156">
        <v>8554.66</v>
      </c>
      <c r="I732" s="156">
        <v>7502.92</v>
      </c>
      <c r="J732" s="156">
        <v>0</v>
      </c>
      <c r="K732" s="131">
        <f t="shared" si="86"/>
        <v>16057.58</v>
      </c>
      <c r="L732" s="134">
        <v>0.1792</v>
      </c>
    </row>
    <row r="733" spans="3:12">
      <c r="C733" s="161">
        <f t="shared" si="84"/>
        <v>2020</v>
      </c>
      <c r="D733" s="35" t="s">
        <v>271</v>
      </c>
      <c r="E733" s="227">
        <v>43831</v>
      </c>
      <c r="F733" s="156">
        <v>508869.2</v>
      </c>
      <c r="G733" s="131">
        <f t="shared" si="85"/>
        <v>91189.360639999999</v>
      </c>
      <c r="H733" s="156">
        <v>4870.03</v>
      </c>
      <c r="I733" s="156">
        <v>0</v>
      </c>
      <c r="J733" s="156">
        <v>0</v>
      </c>
      <c r="K733" s="131">
        <f t="shared" si="86"/>
        <v>4870.03</v>
      </c>
      <c r="L733" s="134">
        <v>0.1792</v>
      </c>
    </row>
    <row r="734" spans="3:12">
      <c r="C734" s="161">
        <f t="shared" si="84"/>
        <v>2020</v>
      </c>
      <c r="D734" s="35" t="s">
        <v>271</v>
      </c>
      <c r="E734" s="227">
        <v>43862</v>
      </c>
      <c r="F734" s="156">
        <v>491626.86</v>
      </c>
      <c r="G734" s="131">
        <f t="shared" si="85"/>
        <v>88099.533312</v>
      </c>
      <c r="H734" s="156">
        <v>4587.2</v>
      </c>
      <c r="I734" s="156">
        <v>58017.3</v>
      </c>
      <c r="J734" s="156">
        <v>0</v>
      </c>
      <c r="K734" s="131">
        <f t="shared" si="86"/>
        <v>62604.5</v>
      </c>
      <c r="L734" s="134">
        <v>0.1792</v>
      </c>
    </row>
    <row r="735" spans="3:12">
      <c r="C735" s="161">
        <f t="shared" si="84"/>
        <v>2020</v>
      </c>
      <c r="D735" s="35" t="s">
        <v>271</v>
      </c>
      <c r="E735" s="227">
        <v>43891</v>
      </c>
      <c r="F735" s="156">
        <v>508795.66485</v>
      </c>
      <c r="G735" s="131">
        <f t="shared" si="85"/>
        <v>91176.183141119996</v>
      </c>
      <c r="H735" s="156">
        <v>45190.29</v>
      </c>
      <c r="I735" s="156">
        <v>69184.240000000005</v>
      </c>
      <c r="J735" s="156">
        <v>0</v>
      </c>
      <c r="K735" s="131">
        <f t="shared" si="86"/>
        <v>114374.53</v>
      </c>
      <c r="L735" s="134">
        <v>0.1792</v>
      </c>
    </row>
    <row r="736" spans="3:12">
      <c r="C736" s="161">
        <f t="shared" si="84"/>
        <v>2020</v>
      </c>
      <c r="D736" s="35" t="s">
        <v>271</v>
      </c>
      <c r="E736" s="227">
        <v>43922</v>
      </c>
      <c r="F736" s="156">
        <v>509833.43647499999</v>
      </c>
      <c r="G736" s="131">
        <f t="shared" si="85"/>
        <v>91362.151816319994</v>
      </c>
      <c r="H736" s="156">
        <v>33234.03</v>
      </c>
      <c r="I736" s="156">
        <v>1151.99</v>
      </c>
      <c r="J736" s="156">
        <v>0</v>
      </c>
      <c r="K736" s="131">
        <f t="shared" si="86"/>
        <v>34386.019999999997</v>
      </c>
      <c r="L736" s="134">
        <v>0.1792</v>
      </c>
    </row>
    <row r="737" spans="3:12">
      <c r="C737" s="161">
        <f t="shared" si="84"/>
        <v>2020</v>
      </c>
      <c r="D737" s="35" t="s">
        <v>271</v>
      </c>
      <c r="E737" s="227">
        <v>43952</v>
      </c>
      <c r="F737" s="156">
        <v>475173.48</v>
      </c>
      <c r="G737" s="131">
        <f t="shared" si="85"/>
        <v>85151.08761599999</v>
      </c>
      <c r="H737" s="156">
        <v>0</v>
      </c>
      <c r="I737" s="156">
        <v>0</v>
      </c>
      <c r="J737" s="156">
        <v>0</v>
      </c>
      <c r="K737" s="131">
        <f t="shared" si="86"/>
        <v>0</v>
      </c>
      <c r="L737" s="134">
        <v>0.1792</v>
      </c>
    </row>
    <row r="738" spans="3:12">
      <c r="C738" s="161">
        <f t="shared" si="84"/>
        <v>2020</v>
      </c>
      <c r="D738" s="35" t="s">
        <v>271</v>
      </c>
      <c r="E738" s="227">
        <v>43983</v>
      </c>
      <c r="F738" s="156">
        <v>467544.95</v>
      </c>
      <c r="G738" s="131">
        <f t="shared" si="85"/>
        <v>83784.055040000007</v>
      </c>
      <c r="H738" s="156">
        <v>334.93</v>
      </c>
      <c r="I738" s="156">
        <v>83253.919999999998</v>
      </c>
      <c r="J738" s="156">
        <v>0</v>
      </c>
      <c r="K738" s="131">
        <f t="shared" si="86"/>
        <v>83588.849999999991</v>
      </c>
      <c r="L738" s="134">
        <v>0.1792</v>
      </c>
    </row>
    <row r="739" spans="3:12">
      <c r="C739" s="161">
        <f t="shared" si="84"/>
        <v>2020</v>
      </c>
      <c r="D739" s="35" t="s">
        <v>271</v>
      </c>
      <c r="E739" s="227">
        <v>44013</v>
      </c>
      <c r="F739" s="156">
        <v>471530.34</v>
      </c>
      <c r="G739" s="131">
        <f t="shared" si="85"/>
        <v>84498.236927999998</v>
      </c>
      <c r="H739" s="156">
        <v>1351.67</v>
      </c>
      <c r="I739" s="156">
        <v>468830.94</v>
      </c>
      <c r="J739" s="156">
        <v>913.76</v>
      </c>
      <c r="K739" s="131">
        <f t="shared" si="86"/>
        <v>471096.37</v>
      </c>
      <c r="L739" s="134">
        <v>0.1792</v>
      </c>
    </row>
    <row r="740" spans="3:12">
      <c r="C740" s="161">
        <f t="shared" si="84"/>
        <v>2020</v>
      </c>
      <c r="D740" s="35" t="s">
        <v>271</v>
      </c>
      <c r="E740" s="227">
        <v>44044</v>
      </c>
      <c r="F740" s="156">
        <v>529737.23</v>
      </c>
      <c r="G740" s="131">
        <f t="shared" si="85"/>
        <v>94928.911615999998</v>
      </c>
      <c r="H740" s="156">
        <v>6942.2</v>
      </c>
      <c r="I740" s="156">
        <v>691136.12</v>
      </c>
      <c r="J740" s="156">
        <v>0</v>
      </c>
      <c r="K740" s="131">
        <f t="shared" si="86"/>
        <v>698078.32</v>
      </c>
      <c r="L740" s="134">
        <v>0.1792</v>
      </c>
    </row>
    <row r="741" spans="3:12">
      <c r="C741" s="161">
        <f t="shared" si="84"/>
        <v>2020</v>
      </c>
      <c r="D741" s="35" t="s">
        <v>271</v>
      </c>
      <c r="E741" s="227">
        <v>44075</v>
      </c>
      <c r="F741" s="156">
        <v>581083.56000000006</v>
      </c>
      <c r="G741" s="131">
        <f t="shared" si="85"/>
        <v>104130.17395200001</v>
      </c>
      <c r="H741" s="156">
        <v>4149.16</v>
      </c>
      <c r="I741" s="156">
        <v>351352.78</v>
      </c>
      <c r="J741" s="156">
        <v>0</v>
      </c>
      <c r="K741" s="131">
        <f t="shared" si="86"/>
        <v>355501.94</v>
      </c>
      <c r="L741" s="134">
        <v>0.1792</v>
      </c>
    </row>
    <row r="742" spans="3:12">
      <c r="C742" s="161">
        <f t="shared" si="84"/>
        <v>2020</v>
      </c>
      <c r="D742" s="35" t="s">
        <v>271</v>
      </c>
      <c r="E742" s="227">
        <v>44105</v>
      </c>
      <c r="F742" s="156">
        <v>661846.21</v>
      </c>
      <c r="G742" s="131">
        <f t="shared" si="85"/>
        <v>118602.84083199999</v>
      </c>
      <c r="H742" s="156">
        <v>3561.5</v>
      </c>
      <c r="I742" s="156">
        <v>469164.71</v>
      </c>
      <c r="J742" s="156">
        <v>0</v>
      </c>
      <c r="K742" s="131">
        <f t="shared" si="86"/>
        <v>472726.21</v>
      </c>
      <c r="L742" s="134">
        <v>0.1792</v>
      </c>
    </row>
    <row r="743" spans="3:12">
      <c r="C743" s="161">
        <f t="shared" si="84"/>
        <v>2020</v>
      </c>
      <c r="D743" s="35" t="s">
        <v>271</v>
      </c>
      <c r="E743" s="227">
        <v>44136</v>
      </c>
      <c r="F743" s="156">
        <v>560104.87</v>
      </c>
      <c r="G743" s="131">
        <f t="shared" si="85"/>
        <v>100370.79270399999</v>
      </c>
      <c r="H743" s="156">
        <v>8035.25</v>
      </c>
      <c r="I743" s="156">
        <v>139774.68</v>
      </c>
      <c r="J743" s="156">
        <v>0</v>
      </c>
      <c r="K743" s="131">
        <f t="shared" si="86"/>
        <v>147809.93</v>
      </c>
      <c r="L743" s="134">
        <v>0.1792</v>
      </c>
    </row>
    <row r="744" spans="3:12">
      <c r="C744" s="161">
        <f t="shared" si="84"/>
        <v>2020</v>
      </c>
      <c r="D744" s="35" t="s">
        <v>271</v>
      </c>
      <c r="E744" s="227">
        <v>44166</v>
      </c>
      <c r="F744" s="156">
        <v>611982.63</v>
      </c>
      <c r="G744" s="131">
        <f t="shared" si="85"/>
        <v>109667.28729599999</v>
      </c>
      <c r="H744" s="156">
        <v>5271.76</v>
      </c>
      <c r="I744" s="156">
        <v>284275.81</v>
      </c>
      <c r="J744" s="156">
        <v>0</v>
      </c>
      <c r="K744" s="131">
        <f t="shared" si="86"/>
        <v>289547.57</v>
      </c>
      <c r="L744" s="134">
        <v>0.1792</v>
      </c>
    </row>
    <row r="745" spans="3:12">
      <c r="C745" s="161">
        <f t="shared" si="84"/>
        <v>2021</v>
      </c>
      <c r="D745" s="35" t="s">
        <v>271</v>
      </c>
      <c r="E745" s="227">
        <v>44197</v>
      </c>
      <c r="F745" s="156">
        <v>596111.67000000004</v>
      </c>
      <c r="G745" s="131">
        <f t="shared" si="85"/>
        <v>106823.21126400001</v>
      </c>
      <c r="H745" s="156">
        <v>3426.63</v>
      </c>
      <c r="I745" s="156">
        <v>212493.8</v>
      </c>
      <c r="J745" s="156">
        <v>0</v>
      </c>
      <c r="K745" s="131">
        <f t="shared" si="86"/>
        <v>215920.43</v>
      </c>
      <c r="L745" s="134">
        <v>0.1792</v>
      </c>
    </row>
    <row r="746" spans="3:12">
      <c r="C746" s="161">
        <f t="shared" si="84"/>
        <v>2021</v>
      </c>
      <c r="D746" s="35" t="s">
        <v>271</v>
      </c>
      <c r="E746" s="227">
        <v>44229</v>
      </c>
      <c r="F746" s="156">
        <v>551560.44999999995</v>
      </c>
      <c r="G746" s="131">
        <f t="shared" si="85"/>
        <v>98839.632639999996</v>
      </c>
      <c r="H746" s="156">
        <v>1892.4</v>
      </c>
      <c r="I746" s="156">
        <v>147149.9</v>
      </c>
      <c r="J746" s="156">
        <v>0</v>
      </c>
      <c r="K746" s="131">
        <f t="shared" si="86"/>
        <v>149042.29999999999</v>
      </c>
      <c r="L746" s="134">
        <v>0.1792</v>
      </c>
    </row>
    <row r="747" spans="3:12">
      <c r="C747" s="161">
        <f t="shared" si="84"/>
        <v>2021</v>
      </c>
      <c r="D747" s="35" t="s">
        <v>271</v>
      </c>
      <c r="E747" s="227">
        <v>44258</v>
      </c>
      <c r="F747" s="156">
        <v>528346.6</v>
      </c>
      <c r="G747" s="131">
        <f t="shared" si="85"/>
        <v>94679.710719999988</v>
      </c>
      <c r="H747" s="156">
        <v>10581.66</v>
      </c>
      <c r="I747" s="156">
        <v>66641.58</v>
      </c>
      <c r="J747" s="156">
        <v>0</v>
      </c>
      <c r="K747" s="131">
        <f t="shared" si="86"/>
        <v>77223.240000000005</v>
      </c>
      <c r="L747" s="134">
        <v>0.1792</v>
      </c>
    </row>
    <row r="748" spans="3:12">
      <c r="C748" s="161">
        <f t="shared" si="84"/>
        <v>2021</v>
      </c>
      <c r="D748" s="35" t="s">
        <v>271</v>
      </c>
      <c r="E748" s="227">
        <v>44290</v>
      </c>
      <c r="F748" s="156">
        <v>627749.24</v>
      </c>
      <c r="G748" s="131">
        <f t="shared" si="85"/>
        <v>112492.663808</v>
      </c>
      <c r="H748" s="156">
        <v>4035.45</v>
      </c>
      <c r="I748" s="156">
        <v>34276.92</v>
      </c>
      <c r="J748" s="156">
        <v>0</v>
      </c>
      <c r="K748" s="131">
        <f t="shared" si="86"/>
        <v>38312.369999999995</v>
      </c>
      <c r="L748" s="134">
        <v>0.1792</v>
      </c>
    </row>
    <row r="749" spans="3:12">
      <c r="C749" s="161">
        <f t="shared" si="84"/>
        <v>2021</v>
      </c>
      <c r="D749" s="35" t="s">
        <v>271</v>
      </c>
      <c r="E749" s="227">
        <v>44321</v>
      </c>
      <c r="F749" s="156">
        <v>564261.56999999995</v>
      </c>
      <c r="G749" s="131">
        <f t="shared" si="85"/>
        <v>101115.673344</v>
      </c>
      <c r="H749" s="156">
        <v>338444.13</v>
      </c>
      <c r="I749" s="156">
        <v>19000.599999999999</v>
      </c>
      <c r="J749" s="156">
        <v>0</v>
      </c>
      <c r="K749" s="131">
        <f t="shared" si="86"/>
        <v>357444.73</v>
      </c>
      <c r="L749" s="134">
        <v>0.1792</v>
      </c>
    </row>
    <row r="750" spans="3:12">
      <c r="C750" s="161">
        <f t="shared" si="84"/>
        <v>2021</v>
      </c>
      <c r="D750" s="35" t="s">
        <v>271</v>
      </c>
      <c r="E750" s="227">
        <v>44353</v>
      </c>
      <c r="F750" s="156">
        <v>533633.92000000004</v>
      </c>
      <c r="G750" s="131">
        <f t="shared" si="85"/>
        <v>95627.198464000001</v>
      </c>
      <c r="H750" s="156">
        <v>1775.39</v>
      </c>
      <c r="I750" s="156">
        <v>14830.03</v>
      </c>
      <c r="J750" s="156">
        <v>0</v>
      </c>
      <c r="K750" s="131">
        <f t="shared" si="86"/>
        <v>16605.420000000002</v>
      </c>
      <c r="L750" s="134">
        <v>0.1792</v>
      </c>
    </row>
    <row r="751" spans="3:12">
      <c r="C751" s="161">
        <f t="shared" si="84"/>
        <v>2015</v>
      </c>
      <c r="D751" s="35" t="s">
        <v>272</v>
      </c>
      <c r="E751" s="227">
        <v>42309</v>
      </c>
      <c r="F751" s="156">
        <v>182706.08</v>
      </c>
      <c r="G751" s="131">
        <f t="shared" si="85"/>
        <v>32740.929535999996</v>
      </c>
      <c r="H751" s="156">
        <v>1647</v>
      </c>
      <c r="I751" s="156">
        <v>0</v>
      </c>
      <c r="J751" s="156">
        <v>0</v>
      </c>
      <c r="K751" s="131">
        <f t="shared" si="86"/>
        <v>1647</v>
      </c>
      <c r="L751" s="134">
        <v>0.1792</v>
      </c>
    </row>
    <row r="752" spans="3:12">
      <c r="C752" s="161">
        <f t="shared" si="84"/>
        <v>2015</v>
      </c>
      <c r="D752" s="35" t="s">
        <v>272</v>
      </c>
      <c r="E752" s="227">
        <v>42339</v>
      </c>
      <c r="F752" s="156">
        <v>167391.20000000001</v>
      </c>
      <c r="G752" s="131">
        <f t="shared" si="85"/>
        <v>29996.503040000003</v>
      </c>
      <c r="H752" s="156">
        <v>670.59</v>
      </c>
      <c r="I752" s="156">
        <v>0</v>
      </c>
      <c r="J752" s="156">
        <v>0</v>
      </c>
      <c r="K752" s="131">
        <f t="shared" si="86"/>
        <v>670.59</v>
      </c>
      <c r="L752" s="134">
        <v>0.1792</v>
      </c>
    </row>
    <row r="753" spans="3:12">
      <c r="C753" s="161">
        <f t="shared" si="84"/>
        <v>2016</v>
      </c>
      <c r="D753" s="35" t="s">
        <v>272</v>
      </c>
      <c r="E753" s="227">
        <v>42370</v>
      </c>
      <c r="F753" s="156">
        <v>182805.01</v>
      </c>
      <c r="G753" s="131">
        <f t="shared" si="85"/>
        <v>32758.657792000002</v>
      </c>
      <c r="H753" s="156">
        <v>959.54</v>
      </c>
      <c r="I753" s="156">
        <v>0</v>
      </c>
      <c r="J753" s="156">
        <v>0</v>
      </c>
      <c r="K753" s="131">
        <f t="shared" si="86"/>
        <v>959.54</v>
      </c>
      <c r="L753" s="134">
        <v>0.1792</v>
      </c>
    </row>
    <row r="754" spans="3:12">
      <c r="C754" s="161">
        <f t="shared" si="84"/>
        <v>2016</v>
      </c>
      <c r="D754" s="35" t="s">
        <v>272</v>
      </c>
      <c r="E754" s="227">
        <v>42401</v>
      </c>
      <c r="F754" s="156">
        <v>193989.41</v>
      </c>
      <c r="G754" s="131">
        <f t="shared" si="85"/>
        <v>34762.902271999999</v>
      </c>
      <c r="H754" s="156">
        <v>930.97</v>
      </c>
      <c r="I754" s="156">
        <v>0</v>
      </c>
      <c r="J754" s="156">
        <v>0</v>
      </c>
      <c r="K754" s="131">
        <f t="shared" si="86"/>
        <v>930.97</v>
      </c>
      <c r="L754" s="134">
        <v>0.1792</v>
      </c>
    </row>
    <row r="755" spans="3:12">
      <c r="C755" s="161">
        <f t="shared" si="84"/>
        <v>2016</v>
      </c>
      <c r="D755" s="35" t="s">
        <v>272</v>
      </c>
      <c r="E755" s="227">
        <v>42430</v>
      </c>
      <c r="F755" s="156">
        <v>158412.75</v>
      </c>
      <c r="G755" s="131">
        <f t="shared" si="85"/>
        <v>28387.5648</v>
      </c>
      <c r="H755" s="156">
        <v>44712.47</v>
      </c>
      <c r="I755" s="156">
        <v>0</v>
      </c>
      <c r="J755" s="156">
        <v>0</v>
      </c>
      <c r="K755" s="131">
        <f t="shared" si="86"/>
        <v>44712.47</v>
      </c>
      <c r="L755" s="134">
        <v>0.1792</v>
      </c>
    </row>
    <row r="756" spans="3:12">
      <c r="C756" s="161">
        <f t="shared" si="84"/>
        <v>2016</v>
      </c>
      <c r="D756" s="35" t="s">
        <v>272</v>
      </c>
      <c r="E756" s="227">
        <v>42461</v>
      </c>
      <c r="F756" s="156">
        <v>189280.61</v>
      </c>
      <c r="G756" s="131">
        <f t="shared" si="85"/>
        <v>33919.085311999996</v>
      </c>
      <c r="H756" s="156">
        <v>15867.15</v>
      </c>
      <c r="I756" s="156">
        <v>0</v>
      </c>
      <c r="J756" s="156">
        <v>0</v>
      </c>
      <c r="K756" s="131">
        <f t="shared" si="86"/>
        <v>15867.15</v>
      </c>
      <c r="L756" s="134">
        <v>0.1792</v>
      </c>
    </row>
    <row r="757" spans="3:12">
      <c r="C757" s="161">
        <f t="shared" si="84"/>
        <v>2016</v>
      </c>
      <c r="D757" s="35" t="s">
        <v>272</v>
      </c>
      <c r="E757" s="227">
        <v>42491</v>
      </c>
      <c r="F757" s="156">
        <v>176288.69</v>
      </c>
      <c r="G757" s="131">
        <f t="shared" si="85"/>
        <v>31590.933248000001</v>
      </c>
      <c r="H757" s="156">
        <v>473.42</v>
      </c>
      <c r="I757" s="156">
        <v>0</v>
      </c>
      <c r="J757" s="156">
        <v>0</v>
      </c>
      <c r="K757" s="131">
        <f t="shared" si="86"/>
        <v>473.42</v>
      </c>
      <c r="L757" s="134">
        <v>0.1792</v>
      </c>
    </row>
    <row r="758" spans="3:12">
      <c r="C758" s="161">
        <f t="shared" si="84"/>
        <v>2016</v>
      </c>
      <c r="D758" s="35" t="s">
        <v>272</v>
      </c>
      <c r="E758" s="227">
        <v>42522</v>
      </c>
      <c r="F758" s="156">
        <v>165693.56</v>
      </c>
      <c r="G758" s="131">
        <f t="shared" si="85"/>
        <v>29692.285951999998</v>
      </c>
      <c r="H758" s="156">
        <v>705.58</v>
      </c>
      <c r="I758" s="156">
        <v>0</v>
      </c>
      <c r="J758" s="156">
        <v>0</v>
      </c>
      <c r="K758" s="131">
        <f t="shared" si="86"/>
        <v>705.58</v>
      </c>
      <c r="L758" s="134">
        <v>0.1792</v>
      </c>
    </row>
    <row r="759" spans="3:12">
      <c r="C759" s="161">
        <f t="shared" si="84"/>
        <v>2016</v>
      </c>
      <c r="D759" s="35" t="s">
        <v>272</v>
      </c>
      <c r="E759" s="227">
        <v>42552</v>
      </c>
      <c r="F759" s="156">
        <v>186921.61</v>
      </c>
      <c r="G759" s="131">
        <f t="shared" si="85"/>
        <v>33496.352511999998</v>
      </c>
      <c r="H759" s="156">
        <v>7610.25</v>
      </c>
      <c r="I759" s="156">
        <v>39775.599999999999</v>
      </c>
      <c r="J759" s="156">
        <v>3980</v>
      </c>
      <c r="K759" s="131">
        <f t="shared" si="86"/>
        <v>51365.85</v>
      </c>
      <c r="L759" s="134">
        <v>0.1792</v>
      </c>
    </row>
    <row r="760" spans="3:12">
      <c r="C760" s="161">
        <f t="shared" si="84"/>
        <v>2016</v>
      </c>
      <c r="D760" s="35" t="s">
        <v>272</v>
      </c>
      <c r="E760" s="227">
        <v>42583</v>
      </c>
      <c r="F760" s="156">
        <v>184644.47</v>
      </c>
      <c r="G760" s="131">
        <f t="shared" si="85"/>
        <v>33088.289023999998</v>
      </c>
      <c r="H760" s="156">
        <v>7097.85</v>
      </c>
      <c r="I760" s="156">
        <v>338109.81</v>
      </c>
      <c r="J760" s="156">
        <v>0</v>
      </c>
      <c r="K760" s="131">
        <f t="shared" si="86"/>
        <v>345207.66</v>
      </c>
      <c r="L760" s="134">
        <v>0.1792</v>
      </c>
    </row>
    <row r="761" spans="3:12">
      <c r="C761" s="161">
        <f t="shared" si="84"/>
        <v>2016</v>
      </c>
      <c r="D761" s="35" t="s">
        <v>272</v>
      </c>
      <c r="E761" s="227">
        <v>42614</v>
      </c>
      <c r="F761" s="156">
        <v>181326.56</v>
      </c>
      <c r="G761" s="131">
        <f t="shared" si="85"/>
        <v>32493.719551999999</v>
      </c>
      <c r="H761" s="156">
        <v>902.41</v>
      </c>
      <c r="I761" s="156">
        <v>1106072.1100000001</v>
      </c>
      <c r="J761" s="156">
        <v>0</v>
      </c>
      <c r="K761" s="131">
        <f t="shared" si="86"/>
        <v>1106974.52</v>
      </c>
      <c r="L761" s="134">
        <v>0.1792</v>
      </c>
    </row>
    <row r="762" spans="3:12">
      <c r="C762" s="161">
        <f t="shared" si="84"/>
        <v>2016</v>
      </c>
      <c r="D762" s="35" t="s">
        <v>272</v>
      </c>
      <c r="E762" s="227">
        <v>42644</v>
      </c>
      <c r="F762" s="156">
        <v>191630.32</v>
      </c>
      <c r="G762" s="131">
        <f t="shared" si="85"/>
        <v>34340.153343999998</v>
      </c>
      <c r="H762" s="156">
        <v>99.94</v>
      </c>
      <c r="I762" s="156">
        <v>392047.35</v>
      </c>
      <c r="J762" s="156">
        <v>0</v>
      </c>
      <c r="K762" s="131">
        <f t="shared" si="86"/>
        <v>392147.29</v>
      </c>
      <c r="L762" s="134">
        <v>0.1792</v>
      </c>
    </row>
    <row r="763" spans="3:12">
      <c r="C763" s="161">
        <f t="shared" si="84"/>
        <v>2016</v>
      </c>
      <c r="D763" s="35" t="s">
        <v>272</v>
      </c>
      <c r="E763" s="227">
        <v>42675</v>
      </c>
      <c r="F763" s="156">
        <v>208736.13</v>
      </c>
      <c r="G763" s="131">
        <f t="shared" si="85"/>
        <v>37405.514496000003</v>
      </c>
      <c r="H763" s="156">
        <v>0</v>
      </c>
      <c r="I763" s="156">
        <v>501578.99</v>
      </c>
      <c r="J763" s="156">
        <v>0</v>
      </c>
      <c r="K763" s="131">
        <f t="shared" si="86"/>
        <v>501578.99</v>
      </c>
      <c r="L763" s="134">
        <v>0.1792</v>
      </c>
    </row>
    <row r="764" spans="3:12">
      <c r="C764" s="161">
        <f t="shared" si="84"/>
        <v>2016</v>
      </c>
      <c r="D764" s="35" t="s">
        <v>272</v>
      </c>
      <c r="E764" s="227">
        <v>42705</v>
      </c>
      <c r="F764" s="156">
        <v>205294.32</v>
      </c>
      <c r="G764" s="131">
        <f t="shared" si="85"/>
        <v>36788.742144000003</v>
      </c>
      <c r="H764" s="156">
        <v>13911.88</v>
      </c>
      <c r="I764" s="156">
        <v>66030.720000000001</v>
      </c>
      <c r="J764" s="156">
        <v>0</v>
      </c>
      <c r="K764" s="131">
        <f t="shared" si="86"/>
        <v>79942.600000000006</v>
      </c>
      <c r="L764" s="134">
        <v>0.1792</v>
      </c>
    </row>
    <row r="765" spans="3:12">
      <c r="C765" s="161">
        <f t="shared" si="84"/>
        <v>2017</v>
      </c>
      <c r="D765" s="35" t="s">
        <v>272</v>
      </c>
      <c r="E765" s="227">
        <v>42736</v>
      </c>
      <c r="F765" s="156">
        <v>210890.26</v>
      </c>
      <c r="G765" s="131">
        <f t="shared" si="85"/>
        <v>37791.534592000004</v>
      </c>
      <c r="H765" s="156">
        <v>2944.44</v>
      </c>
      <c r="I765" s="156">
        <v>667121.16</v>
      </c>
      <c r="J765" s="156">
        <v>0</v>
      </c>
      <c r="K765" s="131">
        <f t="shared" si="86"/>
        <v>670065.6</v>
      </c>
      <c r="L765" s="134">
        <v>0.1792</v>
      </c>
    </row>
    <row r="766" spans="3:12">
      <c r="C766" s="161">
        <f t="shared" si="84"/>
        <v>2017</v>
      </c>
      <c r="D766" s="35" t="s">
        <v>272</v>
      </c>
      <c r="E766" s="227">
        <v>42767</v>
      </c>
      <c r="F766" s="156">
        <v>201732.25</v>
      </c>
      <c r="G766" s="131">
        <f t="shared" si="85"/>
        <v>36150.419199999997</v>
      </c>
      <c r="H766" s="156">
        <v>6976.68</v>
      </c>
      <c r="I766" s="156">
        <v>165623.75</v>
      </c>
      <c r="J766" s="156">
        <v>184.2</v>
      </c>
      <c r="K766" s="131">
        <f t="shared" si="86"/>
        <v>172784.63</v>
      </c>
      <c r="L766" s="134">
        <v>0.1792</v>
      </c>
    </row>
    <row r="767" spans="3:12">
      <c r="C767" s="161">
        <f t="shared" si="84"/>
        <v>2017</v>
      </c>
      <c r="D767" s="35" t="s">
        <v>272</v>
      </c>
      <c r="E767" s="227">
        <v>42795</v>
      </c>
      <c r="F767" s="156">
        <v>194661.94</v>
      </c>
      <c r="G767" s="131">
        <f t="shared" si="85"/>
        <v>34883.419648000003</v>
      </c>
      <c r="H767" s="156">
        <v>318.66000000000003</v>
      </c>
      <c r="I767" s="156">
        <v>0</v>
      </c>
      <c r="J767" s="156">
        <v>0</v>
      </c>
      <c r="K767" s="131">
        <f t="shared" si="86"/>
        <v>318.66000000000003</v>
      </c>
      <c r="L767" s="134">
        <v>0.1792</v>
      </c>
    </row>
    <row r="768" spans="3:12">
      <c r="C768" s="161">
        <f t="shared" si="84"/>
        <v>2017</v>
      </c>
      <c r="D768" s="35" t="s">
        <v>272</v>
      </c>
      <c r="E768" s="227">
        <v>42826</v>
      </c>
      <c r="F768" s="156">
        <v>192387.5</v>
      </c>
      <c r="G768" s="131">
        <f t="shared" si="85"/>
        <v>34475.839999999997</v>
      </c>
      <c r="H768" s="156">
        <v>550.41</v>
      </c>
      <c r="I768" s="156">
        <v>725141.21</v>
      </c>
      <c r="J768" s="156">
        <v>0</v>
      </c>
      <c r="K768" s="131">
        <f t="shared" si="86"/>
        <v>725691.62</v>
      </c>
      <c r="L768" s="134">
        <v>0.1792</v>
      </c>
    </row>
    <row r="769" spans="3:12">
      <c r="C769" s="161">
        <f t="shared" si="84"/>
        <v>2017</v>
      </c>
      <c r="D769" s="35" t="s">
        <v>272</v>
      </c>
      <c r="E769" s="227">
        <v>42856</v>
      </c>
      <c r="F769" s="156">
        <v>179556.72</v>
      </c>
      <c r="G769" s="131">
        <f t="shared" si="85"/>
        <v>32176.564224000002</v>
      </c>
      <c r="H769" s="156">
        <v>910.7</v>
      </c>
      <c r="I769" s="156">
        <v>643325.92000000004</v>
      </c>
      <c r="J769" s="156">
        <v>0</v>
      </c>
      <c r="K769" s="131">
        <f t="shared" si="86"/>
        <v>644236.62</v>
      </c>
      <c r="L769" s="134">
        <v>0.1792</v>
      </c>
    </row>
    <row r="770" spans="3:12">
      <c r="C770" s="161">
        <f t="shared" si="84"/>
        <v>2017</v>
      </c>
      <c r="D770" s="35" t="s">
        <v>272</v>
      </c>
      <c r="E770" s="227">
        <v>42887</v>
      </c>
      <c r="F770" s="156">
        <v>179017.99</v>
      </c>
      <c r="G770" s="131">
        <f t="shared" si="85"/>
        <v>32080.023807999998</v>
      </c>
      <c r="H770" s="156">
        <v>1064.1099999999999</v>
      </c>
      <c r="I770" s="156">
        <v>297456.92</v>
      </c>
      <c r="J770" s="156">
        <v>0</v>
      </c>
      <c r="K770" s="131">
        <f t="shared" si="86"/>
        <v>298521.02999999997</v>
      </c>
      <c r="L770" s="134">
        <v>0.1792</v>
      </c>
    </row>
    <row r="771" spans="3:12">
      <c r="C771" s="161">
        <f t="shared" si="84"/>
        <v>2017</v>
      </c>
      <c r="D771" s="35" t="s">
        <v>272</v>
      </c>
      <c r="E771" s="227">
        <v>42917</v>
      </c>
      <c r="F771" s="156">
        <v>186915.42</v>
      </c>
      <c r="G771" s="131">
        <f t="shared" si="85"/>
        <v>33495.243264000004</v>
      </c>
      <c r="H771" s="156">
        <v>865.01</v>
      </c>
      <c r="I771" s="156">
        <v>0</v>
      </c>
      <c r="J771" s="156">
        <v>0</v>
      </c>
      <c r="K771" s="131">
        <f t="shared" si="86"/>
        <v>865.01</v>
      </c>
      <c r="L771" s="134">
        <v>0.1792</v>
      </c>
    </row>
    <row r="772" spans="3:12">
      <c r="C772" s="161">
        <f t="shared" ref="C772:C835" si="87">YEAR(E772)</f>
        <v>2017</v>
      </c>
      <c r="D772" s="35" t="s">
        <v>272</v>
      </c>
      <c r="E772" s="227">
        <v>42948</v>
      </c>
      <c r="F772" s="156">
        <v>200992.21</v>
      </c>
      <c r="G772" s="131">
        <f t="shared" ref="G772:G835" si="88">F772*L772</f>
        <v>36017.804032</v>
      </c>
      <c r="H772" s="156">
        <v>630.41999999999996</v>
      </c>
      <c r="I772" s="156">
        <v>222009.8</v>
      </c>
      <c r="J772" s="156">
        <v>0</v>
      </c>
      <c r="K772" s="131">
        <f t="shared" ref="K772:K835" si="89">SUM(H772:J772)</f>
        <v>222640.22</v>
      </c>
      <c r="L772" s="134">
        <v>0.1792</v>
      </c>
    </row>
    <row r="773" spans="3:12">
      <c r="C773" s="161">
        <f t="shared" si="87"/>
        <v>2017</v>
      </c>
      <c r="D773" s="35" t="s">
        <v>272</v>
      </c>
      <c r="E773" s="227">
        <v>42979</v>
      </c>
      <c r="F773" s="156">
        <v>213070.82</v>
      </c>
      <c r="G773" s="131">
        <f t="shared" si="88"/>
        <v>38182.290944</v>
      </c>
      <c r="H773" s="156">
        <v>636.41999999999996</v>
      </c>
      <c r="I773" s="156">
        <v>0</v>
      </c>
      <c r="J773" s="156">
        <v>0</v>
      </c>
      <c r="K773" s="131">
        <f t="shared" si="89"/>
        <v>636.41999999999996</v>
      </c>
      <c r="L773" s="134">
        <v>0.1792</v>
      </c>
    </row>
    <row r="774" spans="3:12">
      <c r="C774" s="161">
        <f t="shared" si="87"/>
        <v>2017</v>
      </c>
      <c r="D774" s="35" t="s">
        <v>272</v>
      </c>
      <c r="E774" s="227">
        <v>43009</v>
      </c>
      <c r="F774" s="156">
        <v>208541.62</v>
      </c>
      <c r="G774" s="131">
        <f t="shared" si="88"/>
        <v>37370.658303999997</v>
      </c>
      <c r="H774" s="156">
        <v>790.59</v>
      </c>
      <c r="I774" s="156">
        <v>0</v>
      </c>
      <c r="J774" s="156">
        <v>0</v>
      </c>
      <c r="K774" s="131">
        <f t="shared" si="89"/>
        <v>790.59</v>
      </c>
      <c r="L774" s="134">
        <v>0.1792</v>
      </c>
    </row>
    <row r="775" spans="3:12">
      <c r="C775" s="161">
        <f t="shared" si="87"/>
        <v>2017</v>
      </c>
      <c r="D775" s="35" t="s">
        <v>272</v>
      </c>
      <c r="E775" s="227">
        <v>43040</v>
      </c>
      <c r="F775" s="156">
        <v>209911.18</v>
      </c>
      <c r="G775" s="131">
        <f t="shared" si="88"/>
        <v>37616.083456</v>
      </c>
      <c r="H775" s="156">
        <v>390.19</v>
      </c>
      <c r="I775" s="156">
        <v>0</v>
      </c>
      <c r="J775" s="156">
        <v>0</v>
      </c>
      <c r="K775" s="131">
        <f t="shared" si="89"/>
        <v>390.19</v>
      </c>
      <c r="L775" s="134">
        <v>0.1792</v>
      </c>
    </row>
    <row r="776" spans="3:12">
      <c r="C776" s="161">
        <f t="shared" si="87"/>
        <v>2017</v>
      </c>
      <c r="D776" s="35" t="s">
        <v>272</v>
      </c>
      <c r="E776" s="227">
        <v>43070</v>
      </c>
      <c r="F776" s="156">
        <v>210219.81</v>
      </c>
      <c r="G776" s="131">
        <f t="shared" si="88"/>
        <v>37671.389951999998</v>
      </c>
      <c r="H776" s="156">
        <v>498.18</v>
      </c>
      <c r="I776" s="156">
        <v>0</v>
      </c>
      <c r="J776" s="156">
        <v>0</v>
      </c>
      <c r="K776" s="131">
        <f t="shared" si="89"/>
        <v>498.18</v>
      </c>
      <c r="L776" s="134">
        <v>0.1792</v>
      </c>
    </row>
    <row r="777" spans="3:12">
      <c r="C777" s="161">
        <f t="shared" si="87"/>
        <v>2018</v>
      </c>
      <c r="D777" s="35" t="s">
        <v>272</v>
      </c>
      <c r="E777" s="227">
        <v>43101</v>
      </c>
      <c r="F777" s="156">
        <v>210050.71</v>
      </c>
      <c r="G777" s="131">
        <f t="shared" si="88"/>
        <v>37641.087231999998</v>
      </c>
      <c r="H777" s="156">
        <v>89.28</v>
      </c>
      <c r="I777" s="156">
        <v>0</v>
      </c>
      <c r="J777" s="156">
        <v>0</v>
      </c>
      <c r="K777" s="131">
        <f t="shared" si="89"/>
        <v>89.28</v>
      </c>
      <c r="L777" s="134">
        <v>0.1792</v>
      </c>
    </row>
    <row r="778" spans="3:12">
      <c r="C778" s="161">
        <f t="shared" si="87"/>
        <v>2018</v>
      </c>
      <c r="D778" s="35" t="s">
        <v>272</v>
      </c>
      <c r="E778" s="227">
        <v>43132</v>
      </c>
      <c r="F778" s="156">
        <v>213079.08</v>
      </c>
      <c r="G778" s="131">
        <f t="shared" si="88"/>
        <v>38183.771135999996</v>
      </c>
      <c r="H778" s="156">
        <v>993.29</v>
      </c>
      <c r="I778" s="156">
        <v>440.86</v>
      </c>
      <c r="J778" s="156">
        <v>0</v>
      </c>
      <c r="K778" s="131">
        <f t="shared" si="89"/>
        <v>1434.15</v>
      </c>
      <c r="L778" s="134">
        <v>0.1792</v>
      </c>
    </row>
    <row r="779" spans="3:12">
      <c r="C779" s="161">
        <f t="shared" si="87"/>
        <v>2018</v>
      </c>
      <c r="D779" s="35" t="s">
        <v>272</v>
      </c>
      <c r="E779" s="227">
        <v>43160</v>
      </c>
      <c r="F779" s="156">
        <v>204602.66</v>
      </c>
      <c r="G779" s="131">
        <f t="shared" si="88"/>
        <v>36664.796671999997</v>
      </c>
      <c r="H779" s="156">
        <v>758.82</v>
      </c>
      <c r="I779" s="156">
        <v>175.83</v>
      </c>
      <c r="J779" s="156">
        <v>0</v>
      </c>
      <c r="K779" s="131">
        <f t="shared" si="89"/>
        <v>934.65000000000009</v>
      </c>
      <c r="L779" s="134">
        <v>0.1792</v>
      </c>
    </row>
    <row r="780" spans="3:12">
      <c r="C780" s="161">
        <f t="shared" si="87"/>
        <v>2018</v>
      </c>
      <c r="D780" s="35" t="s">
        <v>272</v>
      </c>
      <c r="E780" s="227">
        <v>43191</v>
      </c>
      <c r="F780" s="156">
        <v>220407.84</v>
      </c>
      <c r="G780" s="131">
        <f t="shared" si="88"/>
        <v>39497.084927999997</v>
      </c>
      <c r="H780" s="156">
        <v>698.08</v>
      </c>
      <c r="I780" s="156">
        <v>53.97</v>
      </c>
      <c r="J780" s="156">
        <v>0</v>
      </c>
      <c r="K780" s="131">
        <f t="shared" si="89"/>
        <v>752.05000000000007</v>
      </c>
      <c r="L780" s="134">
        <v>0.1792</v>
      </c>
    </row>
    <row r="781" spans="3:12">
      <c r="C781" s="161">
        <f t="shared" si="87"/>
        <v>2018</v>
      </c>
      <c r="D781" s="35" t="s">
        <v>272</v>
      </c>
      <c r="E781" s="227">
        <v>43221</v>
      </c>
      <c r="F781" s="156">
        <v>219162.52</v>
      </c>
      <c r="G781" s="131">
        <f t="shared" si="88"/>
        <v>39273.923583999996</v>
      </c>
      <c r="H781" s="156">
        <v>481.97</v>
      </c>
      <c r="I781" s="156">
        <v>0</v>
      </c>
      <c r="J781" s="156">
        <v>0</v>
      </c>
      <c r="K781" s="131">
        <f t="shared" si="89"/>
        <v>481.97</v>
      </c>
      <c r="L781" s="134">
        <v>0.1792</v>
      </c>
    </row>
    <row r="782" spans="3:12">
      <c r="C782" s="161">
        <f t="shared" si="87"/>
        <v>2018</v>
      </c>
      <c r="D782" s="35" t="s">
        <v>272</v>
      </c>
      <c r="E782" s="227">
        <v>43252</v>
      </c>
      <c r="F782" s="156">
        <v>197261.38</v>
      </c>
      <c r="G782" s="131">
        <f t="shared" si="88"/>
        <v>35349.239296</v>
      </c>
      <c r="H782" s="156">
        <v>348.02</v>
      </c>
      <c r="I782" s="156">
        <v>0</v>
      </c>
      <c r="J782" s="156">
        <v>0</v>
      </c>
      <c r="K782" s="131">
        <f t="shared" si="89"/>
        <v>348.02</v>
      </c>
      <c r="L782" s="134">
        <v>0.1792</v>
      </c>
    </row>
    <row r="783" spans="3:12">
      <c r="C783" s="161">
        <f t="shared" si="87"/>
        <v>2018</v>
      </c>
      <c r="D783" s="35" t="s">
        <v>272</v>
      </c>
      <c r="E783" s="227">
        <v>43282</v>
      </c>
      <c r="F783" s="156">
        <v>204327.3</v>
      </c>
      <c r="G783" s="131">
        <f t="shared" si="88"/>
        <v>36615.452160000001</v>
      </c>
      <c r="H783" s="156">
        <v>848.65</v>
      </c>
      <c r="I783" s="156">
        <v>384.9</v>
      </c>
      <c r="J783" s="156">
        <v>0</v>
      </c>
      <c r="K783" s="131">
        <f t="shared" si="89"/>
        <v>1233.55</v>
      </c>
      <c r="L783" s="134">
        <v>0.1792</v>
      </c>
    </row>
    <row r="784" spans="3:12">
      <c r="C784" s="161">
        <f t="shared" si="87"/>
        <v>2018</v>
      </c>
      <c r="D784" s="35" t="s">
        <v>272</v>
      </c>
      <c r="E784" s="227">
        <v>43313</v>
      </c>
      <c r="F784" s="156">
        <v>207481.42</v>
      </c>
      <c r="G784" s="131">
        <f t="shared" si="88"/>
        <v>37180.670464000003</v>
      </c>
      <c r="H784" s="156">
        <v>590.72</v>
      </c>
      <c r="I784" s="156">
        <v>38.090000000000003</v>
      </c>
      <c r="J784" s="156">
        <v>1150</v>
      </c>
      <c r="K784" s="131">
        <f t="shared" si="89"/>
        <v>1778.81</v>
      </c>
      <c r="L784" s="134">
        <v>0.1792</v>
      </c>
    </row>
    <row r="785" spans="3:12">
      <c r="C785" s="161">
        <f t="shared" si="87"/>
        <v>2018</v>
      </c>
      <c r="D785" s="35" t="s">
        <v>272</v>
      </c>
      <c r="E785" s="227">
        <v>43344</v>
      </c>
      <c r="F785" s="156">
        <v>207179.01</v>
      </c>
      <c r="G785" s="131">
        <f t="shared" si="88"/>
        <v>37126.478591999999</v>
      </c>
      <c r="H785" s="156">
        <v>284.47000000000003</v>
      </c>
      <c r="I785" s="156">
        <v>0</v>
      </c>
      <c r="J785" s="156">
        <v>0</v>
      </c>
      <c r="K785" s="131">
        <f t="shared" si="89"/>
        <v>284.47000000000003</v>
      </c>
      <c r="L785" s="134">
        <v>0.1792</v>
      </c>
    </row>
    <row r="786" spans="3:12">
      <c r="C786" s="161">
        <f t="shared" si="87"/>
        <v>2018</v>
      </c>
      <c r="D786" s="35" t="s">
        <v>272</v>
      </c>
      <c r="E786" s="227">
        <v>43374</v>
      </c>
      <c r="F786" s="156">
        <v>206509.68</v>
      </c>
      <c r="G786" s="131">
        <f t="shared" si="88"/>
        <v>37006.534655999996</v>
      </c>
      <c r="H786" s="156">
        <v>413.13</v>
      </c>
      <c r="I786" s="156">
        <v>148.05000000000001</v>
      </c>
      <c r="J786" s="156">
        <v>4576.87</v>
      </c>
      <c r="K786" s="131">
        <f t="shared" si="89"/>
        <v>5138.05</v>
      </c>
      <c r="L786" s="134">
        <v>0.1792</v>
      </c>
    </row>
    <row r="787" spans="3:12">
      <c r="C787" s="161">
        <f t="shared" si="87"/>
        <v>2018</v>
      </c>
      <c r="D787" s="35" t="s">
        <v>272</v>
      </c>
      <c r="E787" s="227">
        <v>43405</v>
      </c>
      <c r="F787" s="156">
        <v>223508.655975</v>
      </c>
      <c r="G787" s="131">
        <f t="shared" si="88"/>
        <v>40052.751150720003</v>
      </c>
      <c r="H787" s="156">
        <v>628.48</v>
      </c>
      <c r="I787" s="156">
        <v>135.06</v>
      </c>
      <c r="J787" s="156">
        <v>6736.82</v>
      </c>
      <c r="K787" s="131">
        <f t="shared" si="89"/>
        <v>7500.36</v>
      </c>
      <c r="L787" s="134">
        <v>0.1792</v>
      </c>
    </row>
    <row r="788" spans="3:12">
      <c r="C788" s="161">
        <f t="shared" si="87"/>
        <v>2018</v>
      </c>
      <c r="D788" s="35" t="s">
        <v>272</v>
      </c>
      <c r="E788" s="227">
        <v>43435</v>
      </c>
      <c r="F788" s="156">
        <v>233308.55</v>
      </c>
      <c r="G788" s="131">
        <f t="shared" si="88"/>
        <v>41808.892159999996</v>
      </c>
      <c r="H788" s="156">
        <v>302.95999999999998</v>
      </c>
      <c r="I788" s="156">
        <v>16.149999999999999</v>
      </c>
      <c r="J788" s="156">
        <v>2121.3200000000002</v>
      </c>
      <c r="K788" s="131">
        <f t="shared" si="89"/>
        <v>2440.4300000000003</v>
      </c>
      <c r="L788" s="134">
        <v>0.1792</v>
      </c>
    </row>
    <row r="789" spans="3:12">
      <c r="C789" s="161">
        <f t="shared" si="87"/>
        <v>2019</v>
      </c>
      <c r="D789" s="35" t="s">
        <v>272</v>
      </c>
      <c r="E789" s="227">
        <v>43466</v>
      </c>
      <c r="F789" s="156">
        <v>244025.37</v>
      </c>
      <c r="G789" s="131">
        <f t="shared" si="88"/>
        <v>43729.346303999999</v>
      </c>
      <c r="H789" s="156">
        <v>348.08</v>
      </c>
      <c r="I789" s="156">
        <v>149940.28</v>
      </c>
      <c r="J789" s="156">
        <v>0</v>
      </c>
      <c r="K789" s="131">
        <f t="shared" si="89"/>
        <v>150288.35999999999</v>
      </c>
      <c r="L789" s="134">
        <v>0.1792</v>
      </c>
    </row>
    <row r="790" spans="3:12">
      <c r="C790" s="161">
        <f t="shared" si="87"/>
        <v>2019</v>
      </c>
      <c r="D790" s="35" t="s">
        <v>272</v>
      </c>
      <c r="E790" s="227">
        <v>43497</v>
      </c>
      <c r="F790" s="156">
        <v>232081.95</v>
      </c>
      <c r="G790" s="131">
        <f t="shared" si="88"/>
        <v>41589.085440000003</v>
      </c>
      <c r="H790" s="156">
        <v>934.56</v>
      </c>
      <c r="I790" s="156">
        <v>245501.66</v>
      </c>
      <c r="J790" s="156">
        <v>0</v>
      </c>
      <c r="K790" s="131">
        <f t="shared" si="89"/>
        <v>246436.22</v>
      </c>
      <c r="L790" s="134">
        <v>0.1792</v>
      </c>
    </row>
    <row r="791" spans="3:12">
      <c r="C791" s="161">
        <f t="shared" si="87"/>
        <v>2019</v>
      </c>
      <c r="D791" s="35" t="s">
        <v>272</v>
      </c>
      <c r="E791" s="227">
        <v>43525</v>
      </c>
      <c r="F791" s="156">
        <v>201879.67999999999</v>
      </c>
      <c r="G791" s="131">
        <f t="shared" si="88"/>
        <v>36176.838656</v>
      </c>
      <c r="H791" s="156">
        <v>737.58</v>
      </c>
      <c r="I791" s="156">
        <v>397190.40000000002</v>
      </c>
      <c r="J791" s="156">
        <v>0</v>
      </c>
      <c r="K791" s="131">
        <f t="shared" si="89"/>
        <v>397927.98000000004</v>
      </c>
      <c r="L791" s="134">
        <v>0.1792</v>
      </c>
    </row>
    <row r="792" spans="3:12">
      <c r="C792" s="161">
        <f t="shared" si="87"/>
        <v>2019</v>
      </c>
      <c r="D792" s="35" t="s">
        <v>272</v>
      </c>
      <c r="E792" s="227">
        <v>43556</v>
      </c>
      <c r="F792" s="156">
        <v>225586.49</v>
      </c>
      <c r="G792" s="131">
        <f t="shared" si="88"/>
        <v>40425.099007999997</v>
      </c>
      <c r="H792" s="156">
        <v>527.16999999999996</v>
      </c>
      <c r="I792" s="156">
        <v>478478.07</v>
      </c>
      <c r="J792" s="156">
        <v>1041.01</v>
      </c>
      <c r="K792" s="131">
        <f t="shared" si="89"/>
        <v>480046.25</v>
      </c>
      <c r="L792" s="134">
        <v>0.1792</v>
      </c>
    </row>
    <row r="793" spans="3:12">
      <c r="C793" s="161">
        <f t="shared" si="87"/>
        <v>2019</v>
      </c>
      <c r="D793" s="35" t="s">
        <v>272</v>
      </c>
      <c r="E793" s="227">
        <v>43586</v>
      </c>
      <c r="F793" s="156">
        <v>220452.98</v>
      </c>
      <c r="G793" s="131">
        <f t="shared" si="88"/>
        <v>39505.174016000004</v>
      </c>
      <c r="H793" s="156">
        <v>932.08</v>
      </c>
      <c r="I793" s="156">
        <v>418946.69</v>
      </c>
      <c r="J793" s="156">
        <v>0</v>
      </c>
      <c r="K793" s="131">
        <f t="shared" si="89"/>
        <v>419878.77</v>
      </c>
      <c r="L793" s="134">
        <v>0.1792</v>
      </c>
    </row>
    <row r="794" spans="3:12">
      <c r="C794" s="161">
        <f t="shared" si="87"/>
        <v>2019</v>
      </c>
      <c r="D794" s="35" t="s">
        <v>272</v>
      </c>
      <c r="E794" s="227">
        <v>43617</v>
      </c>
      <c r="F794" s="156">
        <v>219861.92</v>
      </c>
      <c r="G794" s="131">
        <f t="shared" si="88"/>
        <v>39399.256064000001</v>
      </c>
      <c r="H794" s="156">
        <v>721.52</v>
      </c>
      <c r="I794" s="156">
        <v>505249.4</v>
      </c>
      <c r="J794" s="156">
        <v>0</v>
      </c>
      <c r="K794" s="131">
        <f t="shared" si="89"/>
        <v>505970.92000000004</v>
      </c>
      <c r="L794" s="134">
        <v>0.1792</v>
      </c>
    </row>
    <row r="795" spans="3:12">
      <c r="C795" s="161">
        <f t="shared" si="87"/>
        <v>2019</v>
      </c>
      <c r="D795" s="35" t="s">
        <v>272</v>
      </c>
      <c r="E795" s="227">
        <v>43647</v>
      </c>
      <c r="F795" s="156">
        <v>230919.83</v>
      </c>
      <c r="G795" s="131">
        <f t="shared" si="88"/>
        <v>41380.833535999998</v>
      </c>
      <c r="H795" s="156">
        <v>24356.74</v>
      </c>
      <c r="I795" s="156">
        <v>711349.17</v>
      </c>
      <c r="J795" s="156">
        <v>0</v>
      </c>
      <c r="K795" s="131">
        <f t="shared" si="89"/>
        <v>735705.91</v>
      </c>
      <c r="L795" s="134">
        <v>0.1792</v>
      </c>
    </row>
    <row r="796" spans="3:12">
      <c r="C796" s="161">
        <f t="shared" si="87"/>
        <v>2019</v>
      </c>
      <c r="D796" s="35" t="s">
        <v>272</v>
      </c>
      <c r="E796" s="227">
        <v>43678</v>
      </c>
      <c r="F796" s="156">
        <v>242945.37</v>
      </c>
      <c r="G796" s="131">
        <f t="shared" si="88"/>
        <v>43535.810303999999</v>
      </c>
      <c r="H796" s="156">
        <v>0</v>
      </c>
      <c r="I796" s="156">
        <v>213675.01</v>
      </c>
      <c r="J796" s="156">
        <v>0</v>
      </c>
      <c r="K796" s="131">
        <f t="shared" si="89"/>
        <v>213675.01</v>
      </c>
      <c r="L796" s="134">
        <v>0.1792</v>
      </c>
    </row>
    <row r="797" spans="3:12">
      <c r="C797" s="161">
        <f t="shared" si="87"/>
        <v>2019</v>
      </c>
      <c r="D797" s="35" t="s">
        <v>272</v>
      </c>
      <c r="E797" s="227">
        <v>43709</v>
      </c>
      <c r="F797" s="156">
        <v>265735.56</v>
      </c>
      <c r="G797" s="131">
        <f t="shared" si="88"/>
        <v>47619.812352000001</v>
      </c>
      <c r="H797" s="156">
        <v>3992.02</v>
      </c>
      <c r="I797" s="156">
        <v>23231.03</v>
      </c>
      <c r="J797" s="156">
        <v>7528.26</v>
      </c>
      <c r="K797" s="131">
        <f t="shared" si="89"/>
        <v>34751.31</v>
      </c>
      <c r="L797" s="134">
        <v>0.1792</v>
      </c>
    </row>
    <row r="798" spans="3:12">
      <c r="C798" s="161">
        <f t="shared" si="87"/>
        <v>2019</v>
      </c>
      <c r="D798" s="35" t="s">
        <v>272</v>
      </c>
      <c r="E798" s="227">
        <v>43739</v>
      </c>
      <c r="F798" s="156">
        <v>264278.32</v>
      </c>
      <c r="G798" s="131">
        <f t="shared" si="88"/>
        <v>47358.674943999999</v>
      </c>
      <c r="H798" s="156">
        <v>1088.02</v>
      </c>
      <c r="I798" s="156">
        <v>24017.01</v>
      </c>
      <c r="J798" s="156">
        <v>0</v>
      </c>
      <c r="K798" s="131">
        <f t="shared" si="89"/>
        <v>25105.03</v>
      </c>
      <c r="L798" s="134">
        <v>0.1792</v>
      </c>
    </row>
    <row r="799" spans="3:12">
      <c r="C799" s="161">
        <f t="shared" si="87"/>
        <v>2019</v>
      </c>
      <c r="D799" s="35" t="s">
        <v>272</v>
      </c>
      <c r="E799" s="227">
        <v>43770</v>
      </c>
      <c r="F799" s="156">
        <v>282299.56</v>
      </c>
      <c r="G799" s="131">
        <f t="shared" si="88"/>
        <v>50588.081151999999</v>
      </c>
      <c r="H799" s="156">
        <v>173.77</v>
      </c>
      <c r="I799" s="156">
        <v>630845.93000000005</v>
      </c>
      <c r="J799" s="156">
        <v>0</v>
      </c>
      <c r="K799" s="131">
        <f t="shared" si="89"/>
        <v>631019.70000000007</v>
      </c>
      <c r="L799" s="134">
        <v>0.1792</v>
      </c>
    </row>
    <row r="800" spans="3:12">
      <c r="C800" s="161">
        <f t="shared" si="87"/>
        <v>2019</v>
      </c>
      <c r="D800" s="35" t="s">
        <v>272</v>
      </c>
      <c r="E800" s="227">
        <v>43800</v>
      </c>
      <c r="F800" s="156">
        <v>249251.58</v>
      </c>
      <c r="G800" s="131">
        <f t="shared" si="88"/>
        <v>44665.883135999997</v>
      </c>
      <c r="H800" s="156">
        <v>44159.61</v>
      </c>
      <c r="I800" s="156">
        <v>303340.75</v>
      </c>
      <c r="J800" s="156">
        <v>0</v>
      </c>
      <c r="K800" s="131">
        <f t="shared" si="89"/>
        <v>347500.36</v>
      </c>
      <c r="L800" s="134">
        <v>0.1792</v>
      </c>
    </row>
    <row r="801" spans="3:12">
      <c r="C801" s="161">
        <f t="shared" si="87"/>
        <v>2020</v>
      </c>
      <c r="D801" s="35" t="s">
        <v>272</v>
      </c>
      <c r="E801" s="227">
        <v>43831</v>
      </c>
      <c r="F801" s="156">
        <v>260946.22</v>
      </c>
      <c r="G801" s="131">
        <f t="shared" si="88"/>
        <v>46761.562623999998</v>
      </c>
      <c r="H801" s="156">
        <v>73222.47</v>
      </c>
      <c r="I801" s="156">
        <v>27524.33</v>
      </c>
      <c r="J801" s="156">
        <v>0</v>
      </c>
      <c r="K801" s="131">
        <f t="shared" si="89"/>
        <v>100746.8</v>
      </c>
      <c r="L801" s="134">
        <v>0.1792</v>
      </c>
    </row>
    <row r="802" spans="3:12">
      <c r="C802" s="161">
        <f t="shared" si="87"/>
        <v>2020</v>
      </c>
      <c r="D802" s="35" t="s">
        <v>272</v>
      </c>
      <c r="E802" s="227">
        <v>43862</v>
      </c>
      <c r="F802" s="156">
        <v>264553.28000000003</v>
      </c>
      <c r="G802" s="131">
        <f t="shared" si="88"/>
        <v>47407.947776000001</v>
      </c>
      <c r="H802" s="156">
        <v>11893.29</v>
      </c>
      <c r="I802" s="156">
        <v>29419.18</v>
      </c>
      <c r="J802" s="156">
        <v>0</v>
      </c>
      <c r="K802" s="131">
        <f t="shared" si="89"/>
        <v>41312.47</v>
      </c>
      <c r="L802" s="134">
        <v>0.1792</v>
      </c>
    </row>
    <row r="803" spans="3:12">
      <c r="C803" s="161">
        <f t="shared" si="87"/>
        <v>2020</v>
      </c>
      <c r="D803" s="35" t="s">
        <v>272</v>
      </c>
      <c r="E803" s="227">
        <v>43891</v>
      </c>
      <c r="F803" s="156">
        <v>258518.83530000001</v>
      </c>
      <c r="G803" s="131">
        <f t="shared" si="88"/>
        <v>46326.575285760002</v>
      </c>
      <c r="H803" s="156">
        <v>2136.38</v>
      </c>
      <c r="I803" s="156">
        <v>30036.61</v>
      </c>
      <c r="J803" s="156">
        <v>0</v>
      </c>
      <c r="K803" s="131">
        <f t="shared" si="89"/>
        <v>32172.99</v>
      </c>
      <c r="L803" s="134">
        <v>0.1792</v>
      </c>
    </row>
    <row r="804" spans="3:12">
      <c r="C804" s="161">
        <f t="shared" si="87"/>
        <v>2020</v>
      </c>
      <c r="D804" s="35" t="s">
        <v>272</v>
      </c>
      <c r="E804" s="227">
        <v>43922</v>
      </c>
      <c r="F804" s="156">
        <v>270592.23345</v>
      </c>
      <c r="G804" s="131">
        <f t="shared" si="88"/>
        <v>48490.128234240001</v>
      </c>
      <c r="H804" s="156">
        <v>146163.10999999999</v>
      </c>
      <c r="I804" s="156">
        <v>37378.54</v>
      </c>
      <c r="J804" s="156">
        <v>0</v>
      </c>
      <c r="K804" s="131">
        <f t="shared" si="89"/>
        <v>183541.65</v>
      </c>
      <c r="L804" s="134">
        <v>0.1792</v>
      </c>
    </row>
    <row r="805" spans="3:12">
      <c r="C805" s="161">
        <f t="shared" si="87"/>
        <v>2020</v>
      </c>
      <c r="D805" s="35" t="s">
        <v>272</v>
      </c>
      <c r="E805" s="227">
        <v>43952</v>
      </c>
      <c r="F805" s="156">
        <v>274539.86</v>
      </c>
      <c r="G805" s="131">
        <f t="shared" si="88"/>
        <v>49197.542911999997</v>
      </c>
      <c r="H805" s="156">
        <v>2713.59</v>
      </c>
      <c r="I805" s="156">
        <v>216327.67999999999</v>
      </c>
      <c r="J805" s="156">
        <v>0</v>
      </c>
      <c r="K805" s="131">
        <f t="shared" si="89"/>
        <v>219041.27</v>
      </c>
      <c r="L805" s="134">
        <v>0.1792</v>
      </c>
    </row>
    <row r="806" spans="3:12">
      <c r="C806" s="161">
        <f t="shared" si="87"/>
        <v>2020</v>
      </c>
      <c r="D806" s="35" t="s">
        <v>272</v>
      </c>
      <c r="E806" s="227">
        <v>43983</v>
      </c>
      <c r="F806" s="156">
        <v>251324.68</v>
      </c>
      <c r="G806" s="131">
        <f t="shared" si="88"/>
        <v>45037.382656000002</v>
      </c>
      <c r="H806" s="156">
        <v>114693.58</v>
      </c>
      <c r="I806" s="156">
        <v>35212.94</v>
      </c>
      <c r="J806" s="156">
        <v>0</v>
      </c>
      <c r="K806" s="131">
        <f t="shared" si="89"/>
        <v>149906.52000000002</v>
      </c>
      <c r="L806" s="134">
        <v>0.1792</v>
      </c>
    </row>
    <row r="807" spans="3:12">
      <c r="C807" s="161">
        <f t="shared" si="87"/>
        <v>2020</v>
      </c>
      <c r="D807" s="35" t="s">
        <v>272</v>
      </c>
      <c r="E807" s="227">
        <v>44013</v>
      </c>
      <c r="F807" s="156">
        <v>264508.59000000003</v>
      </c>
      <c r="G807" s="131">
        <f t="shared" si="88"/>
        <v>47399.939328000008</v>
      </c>
      <c r="H807" s="156">
        <v>12182.94</v>
      </c>
      <c r="I807" s="156">
        <v>6056.57</v>
      </c>
      <c r="J807" s="156">
        <v>663.7</v>
      </c>
      <c r="K807" s="131">
        <f t="shared" si="89"/>
        <v>18903.210000000003</v>
      </c>
      <c r="L807" s="134">
        <v>0.1792</v>
      </c>
    </row>
    <row r="808" spans="3:12">
      <c r="C808" s="161">
        <f t="shared" si="87"/>
        <v>2020</v>
      </c>
      <c r="D808" s="35" t="s">
        <v>272</v>
      </c>
      <c r="E808" s="227">
        <v>44044</v>
      </c>
      <c r="F808" s="156">
        <v>284330.3</v>
      </c>
      <c r="G808" s="131">
        <f t="shared" si="88"/>
        <v>50951.989759999997</v>
      </c>
      <c r="H808" s="156">
        <v>0</v>
      </c>
      <c r="I808" s="156">
        <v>35166.39</v>
      </c>
      <c r="J808" s="156">
        <v>0</v>
      </c>
      <c r="K808" s="131">
        <f t="shared" si="89"/>
        <v>35166.39</v>
      </c>
      <c r="L808" s="134">
        <v>0.1792</v>
      </c>
    </row>
    <row r="809" spans="3:12">
      <c r="C809" s="161">
        <f t="shared" si="87"/>
        <v>2020</v>
      </c>
      <c r="D809" s="35" t="s">
        <v>272</v>
      </c>
      <c r="E809" s="227">
        <v>44075</v>
      </c>
      <c r="F809" s="156">
        <v>305967.45</v>
      </c>
      <c r="G809" s="131">
        <f t="shared" si="88"/>
        <v>54829.367040000005</v>
      </c>
      <c r="H809" s="156">
        <v>1367.33</v>
      </c>
      <c r="I809" s="156">
        <v>52374.15</v>
      </c>
      <c r="J809" s="156">
        <v>0</v>
      </c>
      <c r="K809" s="131">
        <f t="shared" si="89"/>
        <v>53741.48</v>
      </c>
      <c r="L809" s="134">
        <v>0.1792</v>
      </c>
    </row>
    <row r="810" spans="3:12">
      <c r="C810" s="161">
        <f t="shared" si="87"/>
        <v>2020</v>
      </c>
      <c r="D810" s="35" t="s">
        <v>272</v>
      </c>
      <c r="E810" s="227">
        <v>44105</v>
      </c>
      <c r="F810" s="156">
        <v>331382.55</v>
      </c>
      <c r="G810" s="131">
        <f t="shared" si="88"/>
        <v>59383.752959999998</v>
      </c>
      <c r="H810" s="156">
        <v>563.46</v>
      </c>
      <c r="I810" s="156">
        <v>50529.279999999999</v>
      </c>
      <c r="J810" s="156">
        <v>0</v>
      </c>
      <c r="K810" s="131">
        <f t="shared" si="89"/>
        <v>51092.74</v>
      </c>
      <c r="L810" s="134">
        <v>0.1792</v>
      </c>
    </row>
    <row r="811" spans="3:12">
      <c r="C811" s="161">
        <f t="shared" si="87"/>
        <v>2020</v>
      </c>
      <c r="D811" s="35" t="s">
        <v>272</v>
      </c>
      <c r="E811" s="227">
        <v>44136</v>
      </c>
      <c r="F811" s="156">
        <v>312980.28000000003</v>
      </c>
      <c r="G811" s="131">
        <f t="shared" si="88"/>
        <v>56086.066176000008</v>
      </c>
      <c r="H811" s="156">
        <v>782.28</v>
      </c>
      <c r="I811" s="156">
        <v>12976.8</v>
      </c>
      <c r="J811" s="156">
        <v>0</v>
      </c>
      <c r="K811" s="131">
        <f t="shared" si="89"/>
        <v>13759.08</v>
      </c>
      <c r="L811" s="134">
        <v>0.1792</v>
      </c>
    </row>
    <row r="812" spans="3:12">
      <c r="C812" s="161">
        <f t="shared" si="87"/>
        <v>2020</v>
      </c>
      <c r="D812" s="35" t="s">
        <v>272</v>
      </c>
      <c r="E812" s="227">
        <v>44166</v>
      </c>
      <c r="F812" s="156">
        <v>324502.57</v>
      </c>
      <c r="G812" s="131">
        <f t="shared" si="88"/>
        <v>58150.860544000003</v>
      </c>
      <c r="H812" s="156">
        <v>12896.5</v>
      </c>
      <c r="I812" s="156">
        <v>6387.36</v>
      </c>
      <c r="J812" s="156">
        <v>0</v>
      </c>
      <c r="K812" s="131">
        <f t="shared" si="89"/>
        <v>19283.86</v>
      </c>
      <c r="L812" s="134">
        <v>0.1792</v>
      </c>
    </row>
    <row r="813" spans="3:12">
      <c r="C813" s="161">
        <f t="shared" si="87"/>
        <v>2021</v>
      </c>
      <c r="D813" s="35" t="s">
        <v>272</v>
      </c>
      <c r="E813" s="227">
        <v>44197</v>
      </c>
      <c r="F813" s="156">
        <v>325945.89</v>
      </c>
      <c r="G813" s="131">
        <f t="shared" si="88"/>
        <v>58409.503488000002</v>
      </c>
      <c r="H813" s="156">
        <v>698.8</v>
      </c>
      <c r="I813" s="156">
        <v>6159.69</v>
      </c>
      <c r="J813" s="156">
        <v>0</v>
      </c>
      <c r="K813" s="131">
        <f t="shared" si="89"/>
        <v>6858.49</v>
      </c>
      <c r="L813" s="134">
        <v>0.1792</v>
      </c>
    </row>
    <row r="814" spans="3:12">
      <c r="C814" s="161">
        <f t="shared" si="87"/>
        <v>2021</v>
      </c>
      <c r="D814" s="35" t="s">
        <v>272</v>
      </c>
      <c r="E814" s="227">
        <v>44229</v>
      </c>
      <c r="F814" s="156">
        <v>300769.21999999997</v>
      </c>
      <c r="G814" s="131">
        <f t="shared" si="88"/>
        <v>53897.844223999993</v>
      </c>
      <c r="H814" s="156">
        <v>7909.55</v>
      </c>
      <c r="I814" s="156">
        <v>11153.81</v>
      </c>
      <c r="J814" s="156">
        <v>0</v>
      </c>
      <c r="K814" s="131">
        <f t="shared" si="89"/>
        <v>19063.36</v>
      </c>
      <c r="L814" s="134">
        <v>0.1792</v>
      </c>
    </row>
    <row r="815" spans="3:12">
      <c r="C815" s="161">
        <f t="shared" si="87"/>
        <v>2021</v>
      </c>
      <c r="D815" s="35" t="s">
        <v>272</v>
      </c>
      <c r="E815" s="227">
        <v>44258</v>
      </c>
      <c r="F815" s="156">
        <v>286920.05</v>
      </c>
      <c r="G815" s="131">
        <f t="shared" si="88"/>
        <v>51416.072959999998</v>
      </c>
      <c r="H815" s="156">
        <v>3410.69</v>
      </c>
      <c r="I815" s="156">
        <v>10061.799999999999</v>
      </c>
      <c r="J815" s="156">
        <v>0</v>
      </c>
      <c r="K815" s="131">
        <f t="shared" si="89"/>
        <v>13472.49</v>
      </c>
      <c r="L815" s="134">
        <v>0.1792</v>
      </c>
    </row>
    <row r="816" spans="3:12">
      <c r="C816" s="161">
        <f t="shared" si="87"/>
        <v>2021</v>
      </c>
      <c r="D816" s="35" t="s">
        <v>272</v>
      </c>
      <c r="E816" s="227">
        <v>44290</v>
      </c>
      <c r="F816" s="156">
        <v>331797.52</v>
      </c>
      <c r="G816" s="131">
        <f t="shared" si="88"/>
        <v>59458.115583999999</v>
      </c>
      <c r="H816" s="156">
        <v>1287.71</v>
      </c>
      <c r="I816" s="156">
        <v>4122.67</v>
      </c>
      <c r="J816" s="156">
        <v>0</v>
      </c>
      <c r="K816" s="131">
        <f t="shared" si="89"/>
        <v>5410.38</v>
      </c>
      <c r="L816" s="134">
        <v>0.1792</v>
      </c>
    </row>
    <row r="817" spans="3:12">
      <c r="C817" s="161">
        <f t="shared" si="87"/>
        <v>2021</v>
      </c>
      <c r="D817" s="35" t="s">
        <v>272</v>
      </c>
      <c r="E817" s="227">
        <v>44321</v>
      </c>
      <c r="F817" s="156">
        <v>307538.46000000002</v>
      </c>
      <c r="G817" s="131">
        <f t="shared" si="88"/>
        <v>55110.892032000003</v>
      </c>
      <c r="H817" s="156">
        <v>4436.4799999999996</v>
      </c>
      <c r="I817" s="156">
        <v>0</v>
      </c>
      <c r="J817" s="156">
        <v>0</v>
      </c>
      <c r="K817" s="131">
        <f t="shared" si="89"/>
        <v>4436.4799999999996</v>
      </c>
      <c r="L817" s="134">
        <v>0.1792</v>
      </c>
    </row>
    <row r="818" spans="3:12">
      <c r="C818" s="161">
        <f t="shared" si="87"/>
        <v>2021</v>
      </c>
      <c r="D818" s="35" t="s">
        <v>272</v>
      </c>
      <c r="E818" s="227">
        <v>44353</v>
      </c>
      <c r="F818" s="156">
        <v>294151.27</v>
      </c>
      <c r="G818" s="131">
        <f t="shared" si="88"/>
        <v>52711.907584</v>
      </c>
      <c r="H818" s="156">
        <v>1204.28</v>
      </c>
      <c r="I818" s="156">
        <v>0</v>
      </c>
      <c r="J818" s="156">
        <v>0</v>
      </c>
      <c r="K818" s="131">
        <f t="shared" si="89"/>
        <v>1204.28</v>
      </c>
      <c r="L818" s="134">
        <v>0.1792</v>
      </c>
    </row>
    <row r="819" spans="3:12">
      <c r="C819" s="161">
        <f t="shared" si="87"/>
        <v>2015</v>
      </c>
      <c r="D819" s="35" t="s">
        <v>273</v>
      </c>
      <c r="E819" s="227">
        <v>42309</v>
      </c>
      <c r="F819" s="156">
        <v>176481.3</v>
      </c>
      <c r="G819" s="131">
        <f t="shared" si="88"/>
        <v>31625.448959999998</v>
      </c>
      <c r="H819" s="156">
        <v>251.82</v>
      </c>
      <c r="I819" s="156">
        <v>1910.33</v>
      </c>
      <c r="J819" s="156">
        <v>0</v>
      </c>
      <c r="K819" s="131">
        <f t="shared" si="89"/>
        <v>2162.15</v>
      </c>
      <c r="L819" s="134">
        <v>0.1792</v>
      </c>
    </row>
    <row r="820" spans="3:12">
      <c r="C820" s="161">
        <f t="shared" si="87"/>
        <v>2015</v>
      </c>
      <c r="D820" s="35" t="s">
        <v>273</v>
      </c>
      <c r="E820" s="227">
        <v>42339</v>
      </c>
      <c r="F820" s="156">
        <v>170448.66</v>
      </c>
      <c r="G820" s="131">
        <f t="shared" si="88"/>
        <v>30544.399872000002</v>
      </c>
      <c r="H820" s="156">
        <v>126.91</v>
      </c>
      <c r="I820" s="156">
        <v>1459.53</v>
      </c>
      <c r="J820" s="156">
        <v>0</v>
      </c>
      <c r="K820" s="131">
        <f t="shared" si="89"/>
        <v>1586.44</v>
      </c>
      <c r="L820" s="134">
        <v>0.1792</v>
      </c>
    </row>
    <row r="821" spans="3:12">
      <c r="C821" s="161">
        <f t="shared" si="87"/>
        <v>2016</v>
      </c>
      <c r="D821" s="35" t="s">
        <v>273</v>
      </c>
      <c r="E821" s="227">
        <v>42370</v>
      </c>
      <c r="F821" s="156">
        <v>172259.44</v>
      </c>
      <c r="G821" s="131">
        <f t="shared" si="88"/>
        <v>30868.891648000001</v>
      </c>
      <c r="H821" s="156">
        <v>170.52</v>
      </c>
      <c r="I821" s="156">
        <v>1137.24</v>
      </c>
      <c r="J821" s="156">
        <v>0</v>
      </c>
      <c r="K821" s="131">
        <f t="shared" si="89"/>
        <v>1307.76</v>
      </c>
      <c r="L821" s="134">
        <v>0.1792</v>
      </c>
    </row>
    <row r="822" spans="3:12">
      <c r="C822" s="161">
        <f t="shared" si="87"/>
        <v>2016</v>
      </c>
      <c r="D822" s="35" t="s">
        <v>273</v>
      </c>
      <c r="E822" s="227">
        <v>42401</v>
      </c>
      <c r="F822" s="156">
        <v>164527.38</v>
      </c>
      <c r="G822" s="131">
        <f t="shared" si="88"/>
        <v>29483.306496000001</v>
      </c>
      <c r="H822" s="156">
        <v>327.62</v>
      </c>
      <c r="I822" s="156">
        <v>7186.73</v>
      </c>
      <c r="J822" s="156">
        <v>0</v>
      </c>
      <c r="K822" s="131">
        <f t="shared" si="89"/>
        <v>7514.3499999999995</v>
      </c>
      <c r="L822" s="134">
        <v>0.1792</v>
      </c>
    </row>
    <row r="823" spans="3:12">
      <c r="C823" s="161">
        <f t="shared" si="87"/>
        <v>2016</v>
      </c>
      <c r="D823" s="35" t="s">
        <v>273</v>
      </c>
      <c r="E823" s="227">
        <v>42430</v>
      </c>
      <c r="F823" s="156">
        <v>152398.09</v>
      </c>
      <c r="G823" s="131">
        <f t="shared" si="88"/>
        <v>27309.737728</v>
      </c>
      <c r="H823" s="156">
        <v>450.5</v>
      </c>
      <c r="I823" s="156">
        <v>0</v>
      </c>
      <c r="J823" s="156">
        <v>0</v>
      </c>
      <c r="K823" s="131">
        <f t="shared" si="89"/>
        <v>450.5</v>
      </c>
      <c r="L823" s="134">
        <v>0.1792</v>
      </c>
    </row>
    <row r="824" spans="3:12">
      <c r="C824" s="161">
        <f t="shared" si="87"/>
        <v>2016</v>
      </c>
      <c r="D824" s="35" t="s">
        <v>273</v>
      </c>
      <c r="E824" s="227">
        <v>42461</v>
      </c>
      <c r="F824" s="156">
        <v>170912.86</v>
      </c>
      <c r="G824" s="131">
        <f t="shared" si="88"/>
        <v>30627.584511999998</v>
      </c>
      <c r="H824" s="156">
        <v>317.25</v>
      </c>
      <c r="I824" s="156">
        <v>0</v>
      </c>
      <c r="J824" s="156">
        <v>0</v>
      </c>
      <c r="K824" s="131">
        <f t="shared" si="89"/>
        <v>317.25</v>
      </c>
      <c r="L824" s="134">
        <v>0.1792</v>
      </c>
    </row>
    <row r="825" spans="3:12">
      <c r="C825" s="161">
        <f t="shared" si="87"/>
        <v>2016</v>
      </c>
      <c r="D825" s="35" t="s">
        <v>273</v>
      </c>
      <c r="E825" s="227">
        <v>42491</v>
      </c>
      <c r="F825" s="156">
        <v>157979.60999999999</v>
      </c>
      <c r="G825" s="131">
        <f t="shared" si="88"/>
        <v>28309.946111999998</v>
      </c>
      <c r="H825" s="156">
        <v>965.8</v>
      </c>
      <c r="I825" s="156">
        <v>0</v>
      </c>
      <c r="J825" s="156">
        <v>0</v>
      </c>
      <c r="K825" s="131">
        <f t="shared" si="89"/>
        <v>965.8</v>
      </c>
      <c r="L825" s="134">
        <v>0.1792</v>
      </c>
    </row>
    <row r="826" spans="3:12">
      <c r="C826" s="161">
        <f t="shared" si="87"/>
        <v>2016</v>
      </c>
      <c r="D826" s="35" t="s">
        <v>273</v>
      </c>
      <c r="E826" s="227">
        <v>42522</v>
      </c>
      <c r="F826" s="156">
        <v>156244.82</v>
      </c>
      <c r="G826" s="131">
        <f t="shared" si="88"/>
        <v>27999.071744000001</v>
      </c>
      <c r="H826" s="156">
        <v>1997.84</v>
      </c>
      <c r="I826" s="156">
        <v>1105.71</v>
      </c>
      <c r="J826" s="156">
        <v>4295.3500000000004</v>
      </c>
      <c r="K826" s="131">
        <f t="shared" si="89"/>
        <v>7398.9000000000005</v>
      </c>
      <c r="L826" s="134">
        <v>0.1792</v>
      </c>
    </row>
    <row r="827" spans="3:12">
      <c r="C827" s="161">
        <f t="shared" si="87"/>
        <v>2016</v>
      </c>
      <c r="D827" s="35" t="s">
        <v>273</v>
      </c>
      <c r="E827" s="227">
        <v>42552</v>
      </c>
      <c r="F827" s="156">
        <v>177406.93</v>
      </c>
      <c r="G827" s="131">
        <f t="shared" si="88"/>
        <v>31791.321855999999</v>
      </c>
      <c r="H827" s="156">
        <v>0</v>
      </c>
      <c r="I827" s="156">
        <v>870.57</v>
      </c>
      <c r="J827" s="156">
        <v>0</v>
      </c>
      <c r="K827" s="131">
        <f t="shared" si="89"/>
        <v>870.57</v>
      </c>
      <c r="L827" s="134">
        <v>0.1792</v>
      </c>
    </row>
    <row r="828" spans="3:12">
      <c r="C828" s="161">
        <f t="shared" si="87"/>
        <v>2016</v>
      </c>
      <c r="D828" s="35" t="s">
        <v>273</v>
      </c>
      <c r="E828" s="227">
        <v>42583</v>
      </c>
      <c r="F828" s="156">
        <v>184458.96</v>
      </c>
      <c r="G828" s="131">
        <f t="shared" si="88"/>
        <v>33055.045632000001</v>
      </c>
      <c r="H828" s="156">
        <v>696.05</v>
      </c>
      <c r="I828" s="156">
        <v>0</v>
      </c>
      <c r="J828" s="156">
        <v>416.93</v>
      </c>
      <c r="K828" s="131">
        <f t="shared" si="89"/>
        <v>1112.98</v>
      </c>
      <c r="L828" s="134">
        <v>0.1792</v>
      </c>
    </row>
    <row r="829" spans="3:12">
      <c r="C829" s="161">
        <f t="shared" si="87"/>
        <v>2016</v>
      </c>
      <c r="D829" s="35" t="s">
        <v>273</v>
      </c>
      <c r="E829" s="227">
        <v>42614</v>
      </c>
      <c r="F829" s="156">
        <v>180634.67</v>
      </c>
      <c r="G829" s="131">
        <f t="shared" si="88"/>
        <v>32369.732864000001</v>
      </c>
      <c r="H829" s="156">
        <v>4068.36</v>
      </c>
      <c r="I829" s="156">
        <v>31040.42</v>
      </c>
      <c r="J829" s="156">
        <v>0</v>
      </c>
      <c r="K829" s="131">
        <f t="shared" si="89"/>
        <v>35108.78</v>
      </c>
      <c r="L829" s="134">
        <v>0.1792</v>
      </c>
    </row>
    <row r="830" spans="3:12">
      <c r="C830" s="161">
        <f t="shared" si="87"/>
        <v>2016</v>
      </c>
      <c r="D830" s="35" t="s">
        <v>273</v>
      </c>
      <c r="E830" s="227">
        <v>42644</v>
      </c>
      <c r="F830" s="156">
        <v>193962.49</v>
      </c>
      <c r="G830" s="131">
        <f t="shared" si="88"/>
        <v>34758.078207999999</v>
      </c>
      <c r="H830" s="156">
        <v>2253.52</v>
      </c>
      <c r="I830" s="156">
        <v>5715.99</v>
      </c>
      <c r="J830" s="156">
        <v>0</v>
      </c>
      <c r="K830" s="131">
        <f t="shared" si="89"/>
        <v>7969.51</v>
      </c>
      <c r="L830" s="134">
        <v>0.1792</v>
      </c>
    </row>
    <row r="831" spans="3:12">
      <c r="C831" s="161">
        <f t="shared" si="87"/>
        <v>2016</v>
      </c>
      <c r="D831" s="35" t="s">
        <v>273</v>
      </c>
      <c r="E831" s="227">
        <v>42675</v>
      </c>
      <c r="F831" s="156">
        <v>196651.05</v>
      </c>
      <c r="G831" s="131">
        <f t="shared" si="88"/>
        <v>35239.868159999998</v>
      </c>
      <c r="H831" s="156">
        <v>353.11</v>
      </c>
      <c r="I831" s="156">
        <v>7388.33</v>
      </c>
      <c r="J831" s="156">
        <v>0</v>
      </c>
      <c r="K831" s="131">
        <f t="shared" si="89"/>
        <v>7741.44</v>
      </c>
      <c r="L831" s="134">
        <v>0.1792</v>
      </c>
    </row>
    <row r="832" spans="3:12">
      <c r="C832" s="161">
        <f t="shared" si="87"/>
        <v>2016</v>
      </c>
      <c r="D832" s="35" t="s">
        <v>273</v>
      </c>
      <c r="E832" s="227">
        <v>42705</v>
      </c>
      <c r="F832" s="156">
        <v>188370.5</v>
      </c>
      <c r="G832" s="131">
        <f t="shared" si="88"/>
        <v>33755.993600000002</v>
      </c>
      <c r="H832" s="156">
        <v>1335.53</v>
      </c>
      <c r="I832" s="156">
        <v>13985.98</v>
      </c>
      <c r="J832" s="156">
        <v>0</v>
      </c>
      <c r="K832" s="131">
        <f t="shared" si="89"/>
        <v>15321.51</v>
      </c>
      <c r="L832" s="134">
        <v>0.1792</v>
      </c>
    </row>
    <row r="833" spans="3:12">
      <c r="C833" s="161">
        <f t="shared" si="87"/>
        <v>2017</v>
      </c>
      <c r="D833" s="35" t="s">
        <v>273</v>
      </c>
      <c r="E833" s="227">
        <v>42736</v>
      </c>
      <c r="F833" s="156">
        <v>200213.29</v>
      </c>
      <c r="G833" s="131">
        <f t="shared" si="88"/>
        <v>35878.221568000001</v>
      </c>
      <c r="H833" s="156">
        <v>137.41</v>
      </c>
      <c r="I833" s="156">
        <v>0</v>
      </c>
      <c r="J833" s="156">
        <v>266</v>
      </c>
      <c r="K833" s="131">
        <f t="shared" si="89"/>
        <v>403.40999999999997</v>
      </c>
      <c r="L833" s="134">
        <v>0.1792</v>
      </c>
    </row>
    <row r="834" spans="3:12">
      <c r="C834" s="161">
        <f t="shared" si="87"/>
        <v>2017</v>
      </c>
      <c r="D834" s="35" t="s">
        <v>273</v>
      </c>
      <c r="E834" s="227">
        <v>42767</v>
      </c>
      <c r="F834" s="156">
        <v>194663.51</v>
      </c>
      <c r="G834" s="131">
        <f t="shared" si="88"/>
        <v>34883.700991999998</v>
      </c>
      <c r="H834" s="156">
        <v>7449.66</v>
      </c>
      <c r="I834" s="156">
        <v>1888.15</v>
      </c>
      <c r="J834" s="156">
        <v>0</v>
      </c>
      <c r="K834" s="131">
        <f t="shared" si="89"/>
        <v>9337.81</v>
      </c>
      <c r="L834" s="134">
        <v>0.1792</v>
      </c>
    </row>
    <row r="835" spans="3:12">
      <c r="C835" s="161">
        <f t="shared" si="87"/>
        <v>2017</v>
      </c>
      <c r="D835" s="35" t="s">
        <v>273</v>
      </c>
      <c r="E835" s="227">
        <v>42795</v>
      </c>
      <c r="F835" s="156">
        <v>181218.53</v>
      </c>
      <c r="G835" s="131">
        <f t="shared" si="88"/>
        <v>32474.360575999999</v>
      </c>
      <c r="H835" s="156">
        <v>223.51</v>
      </c>
      <c r="I835" s="156">
        <v>0</v>
      </c>
      <c r="J835" s="156">
        <v>520.4</v>
      </c>
      <c r="K835" s="131">
        <f t="shared" si="89"/>
        <v>743.91</v>
      </c>
      <c r="L835" s="134">
        <v>0.1792</v>
      </c>
    </row>
    <row r="836" spans="3:12">
      <c r="C836" s="161">
        <f t="shared" ref="C836:C899" si="90">YEAR(E836)</f>
        <v>2017</v>
      </c>
      <c r="D836" s="35" t="s">
        <v>273</v>
      </c>
      <c r="E836" s="227">
        <v>42826</v>
      </c>
      <c r="F836" s="156">
        <v>196986.67</v>
      </c>
      <c r="G836" s="131">
        <f t="shared" ref="G836:G899" si="91">F836*L836</f>
        <v>35300.011264000001</v>
      </c>
      <c r="H836" s="156">
        <v>804.66</v>
      </c>
      <c r="I836" s="156">
        <v>0</v>
      </c>
      <c r="J836" s="156">
        <v>0</v>
      </c>
      <c r="K836" s="131">
        <f t="shared" ref="K836:K899" si="92">SUM(H836:J836)</f>
        <v>804.66</v>
      </c>
      <c r="L836" s="134">
        <v>0.1792</v>
      </c>
    </row>
    <row r="837" spans="3:12">
      <c r="C837" s="161">
        <f t="shared" si="90"/>
        <v>2017</v>
      </c>
      <c r="D837" s="35" t="s">
        <v>273</v>
      </c>
      <c r="E837" s="227">
        <v>42856</v>
      </c>
      <c r="F837" s="156">
        <v>187173.44</v>
      </c>
      <c r="G837" s="131">
        <f t="shared" si="91"/>
        <v>33541.480448000002</v>
      </c>
      <c r="H837" s="156">
        <v>0</v>
      </c>
      <c r="I837" s="156">
        <v>0</v>
      </c>
      <c r="J837" s="156">
        <v>0</v>
      </c>
      <c r="K837" s="131">
        <f t="shared" si="92"/>
        <v>0</v>
      </c>
      <c r="L837" s="134">
        <v>0.1792</v>
      </c>
    </row>
    <row r="838" spans="3:12">
      <c r="C838" s="161">
        <f t="shared" si="90"/>
        <v>2017</v>
      </c>
      <c r="D838" s="35" t="s">
        <v>273</v>
      </c>
      <c r="E838" s="227">
        <v>42887</v>
      </c>
      <c r="F838" s="156">
        <v>174533.69</v>
      </c>
      <c r="G838" s="131">
        <f t="shared" si="91"/>
        <v>31276.437247999998</v>
      </c>
      <c r="H838" s="156">
        <v>208.43</v>
      </c>
      <c r="I838" s="156">
        <v>0</v>
      </c>
      <c r="J838" s="156">
        <v>0</v>
      </c>
      <c r="K838" s="131">
        <f t="shared" si="92"/>
        <v>208.43</v>
      </c>
      <c r="L838" s="134">
        <v>0.1792</v>
      </c>
    </row>
    <row r="839" spans="3:12">
      <c r="C839" s="161">
        <f t="shared" si="90"/>
        <v>2017</v>
      </c>
      <c r="D839" s="35" t="s">
        <v>273</v>
      </c>
      <c r="E839" s="227">
        <v>42917</v>
      </c>
      <c r="F839" s="156">
        <v>191369.98</v>
      </c>
      <c r="G839" s="131">
        <f t="shared" si="91"/>
        <v>34293.500416000003</v>
      </c>
      <c r="H839" s="156">
        <v>9624.73</v>
      </c>
      <c r="I839" s="156">
        <v>1030.69</v>
      </c>
      <c r="J839" s="156">
        <v>8853.16</v>
      </c>
      <c r="K839" s="131">
        <f t="shared" si="92"/>
        <v>19508.580000000002</v>
      </c>
      <c r="L839" s="134">
        <v>0.1792</v>
      </c>
    </row>
    <row r="840" spans="3:12">
      <c r="C840" s="161">
        <f t="shared" si="90"/>
        <v>2017</v>
      </c>
      <c r="D840" s="35" t="s">
        <v>273</v>
      </c>
      <c r="E840" s="227">
        <v>42948</v>
      </c>
      <c r="F840" s="156">
        <v>210564.66</v>
      </c>
      <c r="G840" s="131">
        <f t="shared" si="91"/>
        <v>37733.187072000001</v>
      </c>
      <c r="H840" s="156">
        <v>1549.98</v>
      </c>
      <c r="I840" s="156">
        <v>1299.44</v>
      </c>
      <c r="J840" s="156">
        <v>0</v>
      </c>
      <c r="K840" s="131">
        <f t="shared" si="92"/>
        <v>2849.42</v>
      </c>
      <c r="L840" s="134">
        <v>0.1792</v>
      </c>
    </row>
    <row r="841" spans="3:12">
      <c r="C841" s="161">
        <f t="shared" si="90"/>
        <v>2017</v>
      </c>
      <c r="D841" s="35" t="s">
        <v>273</v>
      </c>
      <c r="E841" s="227">
        <v>42979</v>
      </c>
      <c r="F841" s="156">
        <v>214404</v>
      </c>
      <c r="G841" s="131">
        <f t="shared" si="91"/>
        <v>38421.196799999998</v>
      </c>
      <c r="H841" s="156">
        <v>1262.81</v>
      </c>
      <c r="I841" s="156">
        <v>2421.88</v>
      </c>
      <c r="J841" s="156">
        <v>0</v>
      </c>
      <c r="K841" s="131">
        <f t="shared" si="92"/>
        <v>3684.69</v>
      </c>
      <c r="L841" s="134">
        <v>0.1792</v>
      </c>
    </row>
    <row r="842" spans="3:12">
      <c r="C842" s="161">
        <f t="shared" si="90"/>
        <v>2017</v>
      </c>
      <c r="D842" s="35" t="s">
        <v>273</v>
      </c>
      <c r="E842" s="227">
        <v>43009</v>
      </c>
      <c r="F842" s="156">
        <v>204034.83</v>
      </c>
      <c r="G842" s="131">
        <f t="shared" si="91"/>
        <v>36563.041535999997</v>
      </c>
      <c r="H842" s="156">
        <v>4051.35</v>
      </c>
      <c r="I842" s="156">
        <v>0</v>
      </c>
      <c r="J842" s="156">
        <v>0</v>
      </c>
      <c r="K842" s="131">
        <f t="shared" si="92"/>
        <v>4051.35</v>
      </c>
      <c r="L842" s="134">
        <v>0.1792</v>
      </c>
    </row>
    <row r="843" spans="3:12">
      <c r="C843" s="161">
        <f t="shared" si="90"/>
        <v>2017</v>
      </c>
      <c r="D843" s="35" t="s">
        <v>273</v>
      </c>
      <c r="E843" s="227">
        <v>43040</v>
      </c>
      <c r="F843" s="156">
        <v>207540.81</v>
      </c>
      <c r="G843" s="131">
        <f t="shared" si="91"/>
        <v>37191.313152000002</v>
      </c>
      <c r="H843" s="156">
        <v>3563.25</v>
      </c>
      <c r="I843" s="156">
        <v>1891.73</v>
      </c>
      <c r="J843" s="156">
        <v>0</v>
      </c>
      <c r="K843" s="131">
        <f t="shared" si="92"/>
        <v>5454.98</v>
      </c>
      <c r="L843" s="134">
        <v>0.1792</v>
      </c>
    </row>
    <row r="844" spans="3:12">
      <c r="C844" s="161">
        <f t="shared" si="90"/>
        <v>2017</v>
      </c>
      <c r="D844" s="35" t="s">
        <v>273</v>
      </c>
      <c r="E844" s="227">
        <v>43070</v>
      </c>
      <c r="F844" s="156">
        <v>198900.34</v>
      </c>
      <c r="G844" s="131">
        <f t="shared" si="91"/>
        <v>35642.940927999996</v>
      </c>
      <c r="H844" s="156">
        <v>412.92</v>
      </c>
      <c r="I844" s="156">
        <v>1224.82</v>
      </c>
      <c r="J844" s="156">
        <v>0</v>
      </c>
      <c r="K844" s="131">
        <f t="shared" si="92"/>
        <v>1637.74</v>
      </c>
      <c r="L844" s="134">
        <v>0.1792</v>
      </c>
    </row>
    <row r="845" spans="3:12">
      <c r="C845" s="161">
        <f t="shared" si="90"/>
        <v>2018</v>
      </c>
      <c r="D845" s="35" t="s">
        <v>273</v>
      </c>
      <c r="E845" s="227">
        <v>43101</v>
      </c>
      <c r="F845" s="156">
        <v>212143.9</v>
      </c>
      <c r="G845" s="131">
        <f t="shared" si="91"/>
        <v>38016.186880000001</v>
      </c>
      <c r="H845" s="156">
        <v>178.28</v>
      </c>
      <c r="I845" s="156">
        <v>0</v>
      </c>
      <c r="J845" s="156">
        <v>171.18</v>
      </c>
      <c r="K845" s="131">
        <f t="shared" si="92"/>
        <v>349.46000000000004</v>
      </c>
      <c r="L845" s="134">
        <v>0.1792</v>
      </c>
    </row>
    <row r="846" spans="3:12">
      <c r="C846" s="161">
        <f t="shared" si="90"/>
        <v>2018</v>
      </c>
      <c r="D846" s="35" t="s">
        <v>273</v>
      </c>
      <c r="E846" s="227">
        <v>43132</v>
      </c>
      <c r="F846" s="156">
        <v>216498.66</v>
      </c>
      <c r="G846" s="131">
        <f t="shared" si="91"/>
        <v>38796.559871999998</v>
      </c>
      <c r="H846" s="156">
        <v>391.69</v>
      </c>
      <c r="I846" s="156">
        <v>2805.35</v>
      </c>
      <c r="J846" s="156">
        <v>0</v>
      </c>
      <c r="K846" s="131">
        <f t="shared" si="92"/>
        <v>3197.04</v>
      </c>
      <c r="L846" s="134">
        <v>0.1792</v>
      </c>
    </row>
    <row r="847" spans="3:12">
      <c r="C847" s="161">
        <f t="shared" si="90"/>
        <v>2018</v>
      </c>
      <c r="D847" s="35" t="s">
        <v>273</v>
      </c>
      <c r="E847" s="227">
        <v>43160</v>
      </c>
      <c r="F847" s="156">
        <v>200384.88</v>
      </c>
      <c r="G847" s="131">
        <f t="shared" si="91"/>
        <v>35908.970496000002</v>
      </c>
      <c r="H847" s="156">
        <v>374.3</v>
      </c>
      <c r="I847" s="156">
        <v>1818.47</v>
      </c>
      <c r="J847" s="156">
        <v>0</v>
      </c>
      <c r="K847" s="131">
        <f t="shared" si="92"/>
        <v>2192.77</v>
      </c>
      <c r="L847" s="134">
        <v>0.1792</v>
      </c>
    </row>
    <row r="848" spans="3:12">
      <c r="C848" s="161">
        <f t="shared" si="90"/>
        <v>2018</v>
      </c>
      <c r="D848" s="35" t="s">
        <v>273</v>
      </c>
      <c r="E848" s="227">
        <v>43191</v>
      </c>
      <c r="F848" s="156">
        <v>202049.52</v>
      </c>
      <c r="G848" s="131">
        <f t="shared" si="91"/>
        <v>36207.273983999999</v>
      </c>
      <c r="H848" s="156">
        <v>816.78</v>
      </c>
      <c r="I848" s="156">
        <v>3554.4</v>
      </c>
      <c r="J848" s="156">
        <v>0</v>
      </c>
      <c r="K848" s="131">
        <f t="shared" si="92"/>
        <v>4371.18</v>
      </c>
      <c r="L848" s="134">
        <v>0.1792</v>
      </c>
    </row>
    <row r="849" spans="3:12">
      <c r="C849" s="161">
        <f t="shared" si="90"/>
        <v>2018</v>
      </c>
      <c r="D849" s="35" t="s">
        <v>273</v>
      </c>
      <c r="E849" s="227">
        <v>43221</v>
      </c>
      <c r="F849" s="156">
        <v>207119.16</v>
      </c>
      <c r="G849" s="131">
        <f t="shared" si="91"/>
        <v>37115.753471999997</v>
      </c>
      <c r="H849" s="156">
        <v>281.62</v>
      </c>
      <c r="I849" s="156">
        <v>0</v>
      </c>
      <c r="J849" s="156">
        <v>11100</v>
      </c>
      <c r="K849" s="131">
        <f t="shared" si="92"/>
        <v>11381.62</v>
      </c>
      <c r="L849" s="134">
        <v>0.1792</v>
      </c>
    </row>
    <row r="850" spans="3:12">
      <c r="C850" s="161">
        <f t="shared" si="90"/>
        <v>2018</v>
      </c>
      <c r="D850" s="35" t="s">
        <v>273</v>
      </c>
      <c r="E850" s="227">
        <v>43252</v>
      </c>
      <c r="F850" s="156">
        <v>191749.66</v>
      </c>
      <c r="G850" s="131">
        <f t="shared" si="91"/>
        <v>34361.539072</v>
      </c>
      <c r="H850" s="156">
        <v>0</v>
      </c>
      <c r="I850" s="156">
        <v>1031.51</v>
      </c>
      <c r="J850" s="156">
        <v>0</v>
      </c>
      <c r="K850" s="131">
        <f t="shared" si="92"/>
        <v>1031.51</v>
      </c>
      <c r="L850" s="134">
        <v>0.1792</v>
      </c>
    </row>
    <row r="851" spans="3:12">
      <c r="C851" s="161">
        <f t="shared" si="90"/>
        <v>2018</v>
      </c>
      <c r="D851" s="35" t="s">
        <v>273</v>
      </c>
      <c r="E851" s="227">
        <v>43282</v>
      </c>
      <c r="F851" s="156">
        <v>203052.72</v>
      </c>
      <c r="G851" s="131">
        <f t="shared" si="91"/>
        <v>36387.047423999997</v>
      </c>
      <c r="H851" s="156">
        <v>12086.22</v>
      </c>
      <c r="I851" s="156">
        <v>1967.28</v>
      </c>
      <c r="J851" s="156">
        <v>1848.75</v>
      </c>
      <c r="K851" s="131">
        <f t="shared" si="92"/>
        <v>15902.25</v>
      </c>
      <c r="L851" s="134">
        <v>0.1792</v>
      </c>
    </row>
    <row r="852" spans="3:12">
      <c r="C852" s="161">
        <f t="shared" si="90"/>
        <v>2018</v>
      </c>
      <c r="D852" s="35" t="s">
        <v>273</v>
      </c>
      <c r="E852" s="227">
        <v>43313</v>
      </c>
      <c r="F852" s="156">
        <v>196697.65</v>
      </c>
      <c r="G852" s="131">
        <f t="shared" si="91"/>
        <v>35248.21888</v>
      </c>
      <c r="H852" s="156">
        <v>1180.0899999999999</v>
      </c>
      <c r="I852" s="156">
        <v>7731.28</v>
      </c>
      <c r="J852" s="156">
        <v>0</v>
      </c>
      <c r="K852" s="131">
        <f t="shared" si="92"/>
        <v>8911.369999999999</v>
      </c>
      <c r="L852" s="134">
        <v>0.1792</v>
      </c>
    </row>
    <row r="853" spans="3:12">
      <c r="C853" s="161">
        <f t="shared" si="90"/>
        <v>2018</v>
      </c>
      <c r="D853" s="35" t="s">
        <v>273</v>
      </c>
      <c r="E853" s="227">
        <v>43344</v>
      </c>
      <c r="F853" s="156">
        <v>204205.33</v>
      </c>
      <c r="G853" s="131">
        <f t="shared" si="91"/>
        <v>36593.595135999996</v>
      </c>
      <c r="H853" s="156">
        <v>136.31</v>
      </c>
      <c r="I853" s="156">
        <v>3956.4</v>
      </c>
      <c r="J853" s="156">
        <v>0</v>
      </c>
      <c r="K853" s="131">
        <f t="shared" si="92"/>
        <v>4092.71</v>
      </c>
      <c r="L853" s="134">
        <v>0.1792</v>
      </c>
    </row>
    <row r="854" spans="3:12">
      <c r="C854" s="161">
        <f t="shared" si="90"/>
        <v>2018</v>
      </c>
      <c r="D854" s="35" t="s">
        <v>273</v>
      </c>
      <c r="E854" s="227">
        <v>43374</v>
      </c>
      <c r="F854" s="156">
        <v>207554.62</v>
      </c>
      <c r="G854" s="131">
        <f t="shared" si="91"/>
        <v>37193.787903999997</v>
      </c>
      <c r="H854" s="156">
        <v>67.62</v>
      </c>
      <c r="I854" s="156">
        <v>23400.48</v>
      </c>
      <c r="J854" s="156">
        <v>0</v>
      </c>
      <c r="K854" s="131">
        <f t="shared" si="92"/>
        <v>23468.1</v>
      </c>
      <c r="L854" s="134">
        <v>0.1792</v>
      </c>
    </row>
    <row r="855" spans="3:12">
      <c r="C855" s="161">
        <f t="shared" si="90"/>
        <v>2018</v>
      </c>
      <c r="D855" s="35" t="s">
        <v>273</v>
      </c>
      <c r="E855" s="227">
        <v>43405</v>
      </c>
      <c r="F855" s="156">
        <v>210793.67347499999</v>
      </c>
      <c r="G855" s="131">
        <f t="shared" si="91"/>
        <v>37774.226286719997</v>
      </c>
      <c r="H855" s="156">
        <v>574.41</v>
      </c>
      <c r="I855" s="156">
        <v>6117.7</v>
      </c>
      <c r="J855" s="156">
        <v>43222.5</v>
      </c>
      <c r="K855" s="131">
        <f t="shared" si="92"/>
        <v>49914.61</v>
      </c>
      <c r="L855" s="134">
        <v>0.1792</v>
      </c>
    </row>
    <row r="856" spans="3:12">
      <c r="C856" s="161">
        <f t="shared" si="90"/>
        <v>2018</v>
      </c>
      <c r="D856" s="35" t="s">
        <v>273</v>
      </c>
      <c r="E856" s="227">
        <v>43435</v>
      </c>
      <c r="F856" s="156">
        <v>214503.34</v>
      </c>
      <c r="G856" s="131">
        <f t="shared" si="91"/>
        <v>38438.998527999996</v>
      </c>
      <c r="H856" s="156">
        <v>322.64999999999998</v>
      </c>
      <c r="I856" s="156">
        <v>2859.9</v>
      </c>
      <c r="J856" s="156" t="s">
        <v>267</v>
      </c>
      <c r="K856" s="131">
        <f t="shared" si="92"/>
        <v>3182.55</v>
      </c>
      <c r="L856" s="134">
        <v>0.1792</v>
      </c>
    </row>
    <row r="857" spans="3:12">
      <c r="C857" s="161">
        <f t="shared" si="90"/>
        <v>2019</v>
      </c>
      <c r="D857" s="35" t="s">
        <v>273</v>
      </c>
      <c r="E857" s="227">
        <v>43466</v>
      </c>
      <c r="F857" s="156">
        <v>232915.44</v>
      </c>
      <c r="G857" s="131">
        <f t="shared" si="91"/>
        <v>41738.446848</v>
      </c>
      <c r="H857" s="156">
        <v>714.15</v>
      </c>
      <c r="I857" s="156">
        <v>102.6</v>
      </c>
      <c r="J857" s="156">
        <v>0</v>
      </c>
      <c r="K857" s="131">
        <f t="shared" si="92"/>
        <v>816.75</v>
      </c>
      <c r="L857" s="134">
        <v>0.1792</v>
      </c>
    </row>
    <row r="858" spans="3:12">
      <c r="C858" s="161">
        <f t="shared" si="90"/>
        <v>2019</v>
      </c>
      <c r="D858" s="35" t="s">
        <v>273</v>
      </c>
      <c r="E858" s="227">
        <v>43497</v>
      </c>
      <c r="F858" s="156">
        <v>253258.58</v>
      </c>
      <c r="G858" s="131">
        <f t="shared" si="91"/>
        <v>45383.937535999998</v>
      </c>
      <c r="H858" s="156">
        <v>1082.92</v>
      </c>
      <c r="I858" s="156">
        <v>7890.5</v>
      </c>
      <c r="J858" s="156">
        <v>0</v>
      </c>
      <c r="K858" s="131">
        <f t="shared" si="92"/>
        <v>8973.42</v>
      </c>
      <c r="L858" s="134">
        <v>0.1792</v>
      </c>
    </row>
    <row r="859" spans="3:12">
      <c r="C859" s="161">
        <f t="shared" si="90"/>
        <v>2019</v>
      </c>
      <c r="D859" s="35" t="s">
        <v>273</v>
      </c>
      <c r="E859" s="227">
        <v>43525</v>
      </c>
      <c r="F859" s="156">
        <v>203005.11</v>
      </c>
      <c r="G859" s="131">
        <f t="shared" si="91"/>
        <v>36378.515712</v>
      </c>
      <c r="H859" s="156">
        <v>0</v>
      </c>
      <c r="I859" s="156">
        <v>1800.3</v>
      </c>
      <c r="J859" s="156">
        <v>0</v>
      </c>
      <c r="K859" s="131">
        <f t="shared" si="92"/>
        <v>1800.3</v>
      </c>
      <c r="L859" s="134">
        <v>0.1792</v>
      </c>
    </row>
    <row r="860" spans="3:12">
      <c r="C860" s="161">
        <f t="shared" si="90"/>
        <v>2019</v>
      </c>
      <c r="D860" s="35" t="s">
        <v>273</v>
      </c>
      <c r="E860" s="227">
        <v>43556</v>
      </c>
      <c r="F860" s="156">
        <v>218740.51</v>
      </c>
      <c r="G860" s="131">
        <f t="shared" si="91"/>
        <v>39198.299392000001</v>
      </c>
      <c r="H860" s="156">
        <v>871.65</v>
      </c>
      <c r="I860" s="156">
        <v>0</v>
      </c>
      <c r="J860" s="156">
        <v>0</v>
      </c>
      <c r="K860" s="131">
        <f t="shared" si="92"/>
        <v>871.65</v>
      </c>
      <c r="L860" s="134">
        <v>0.1792</v>
      </c>
    </row>
    <row r="861" spans="3:12">
      <c r="C861" s="161">
        <f t="shared" si="90"/>
        <v>2019</v>
      </c>
      <c r="D861" s="35" t="s">
        <v>273</v>
      </c>
      <c r="E861" s="227">
        <v>43586</v>
      </c>
      <c r="F861" s="156">
        <v>209169.43</v>
      </c>
      <c r="G861" s="131">
        <f t="shared" si="91"/>
        <v>37483.161855999999</v>
      </c>
      <c r="H861" s="156">
        <v>268.62</v>
      </c>
      <c r="I861" s="156">
        <v>2078.1999999999998</v>
      </c>
      <c r="J861" s="156">
        <v>0</v>
      </c>
      <c r="K861" s="131">
        <f t="shared" si="92"/>
        <v>2346.8199999999997</v>
      </c>
      <c r="L861" s="134">
        <v>0.1792</v>
      </c>
    </row>
    <row r="862" spans="3:12">
      <c r="C862" s="161">
        <f t="shared" si="90"/>
        <v>2019</v>
      </c>
      <c r="D862" s="35" t="s">
        <v>273</v>
      </c>
      <c r="E862" s="227">
        <v>43617</v>
      </c>
      <c r="F862" s="156">
        <v>212675.08</v>
      </c>
      <c r="G862" s="131">
        <f t="shared" si="91"/>
        <v>38111.374336000001</v>
      </c>
      <c r="H862" s="156">
        <v>8119.04</v>
      </c>
      <c r="I862" s="156">
        <v>414.11</v>
      </c>
      <c r="J862" s="156">
        <v>0</v>
      </c>
      <c r="K862" s="131">
        <f t="shared" si="92"/>
        <v>8533.15</v>
      </c>
      <c r="L862" s="134">
        <v>0.1792</v>
      </c>
    </row>
    <row r="863" spans="3:12">
      <c r="C863" s="161">
        <f t="shared" si="90"/>
        <v>2019</v>
      </c>
      <c r="D863" s="35" t="s">
        <v>273</v>
      </c>
      <c r="E863" s="227">
        <v>43647</v>
      </c>
      <c r="F863" s="156">
        <v>208375.83</v>
      </c>
      <c r="G863" s="131">
        <f t="shared" si="91"/>
        <v>37340.948735999998</v>
      </c>
      <c r="H863" s="156">
        <v>720.38</v>
      </c>
      <c r="I863" s="156">
        <v>1532.14</v>
      </c>
      <c r="J863" s="156">
        <v>2524.1</v>
      </c>
      <c r="K863" s="131">
        <f t="shared" si="92"/>
        <v>4776.62</v>
      </c>
      <c r="L863" s="134">
        <v>0.1792</v>
      </c>
    </row>
    <row r="864" spans="3:12">
      <c r="C864" s="161">
        <f t="shared" si="90"/>
        <v>2019</v>
      </c>
      <c r="D864" s="35" t="s">
        <v>273</v>
      </c>
      <c r="E864" s="227">
        <v>43678</v>
      </c>
      <c r="F864" s="156">
        <v>215203.38</v>
      </c>
      <c r="G864" s="131">
        <f t="shared" si="91"/>
        <v>38564.445696000002</v>
      </c>
      <c r="H864" s="156">
        <v>6664.24</v>
      </c>
      <c r="I864" s="156">
        <v>2406.6999999999998</v>
      </c>
      <c r="J864" s="156">
        <v>0</v>
      </c>
      <c r="K864" s="131">
        <f t="shared" si="92"/>
        <v>9070.9399999999987</v>
      </c>
      <c r="L864" s="134">
        <v>0.1792</v>
      </c>
    </row>
    <row r="865" spans="3:12">
      <c r="C865" s="161">
        <f t="shared" si="90"/>
        <v>2019</v>
      </c>
      <c r="D865" s="35" t="s">
        <v>273</v>
      </c>
      <c r="E865" s="227">
        <v>43709</v>
      </c>
      <c r="F865" s="156">
        <v>240685.14</v>
      </c>
      <c r="G865" s="131">
        <f t="shared" si="91"/>
        <v>43130.777088000003</v>
      </c>
      <c r="H865" s="156">
        <v>1578.06</v>
      </c>
      <c r="I865" s="156">
        <v>216.67</v>
      </c>
      <c r="J865" s="156">
        <v>0</v>
      </c>
      <c r="K865" s="131">
        <f t="shared" si="92"/>
        <v>1794.73</v>
      </c>
      <c r="L865" s="134">
        <v>0.1792</v>
      </c>
    </row>
    <row r="866" spans="3:12">
      <c r="C866" s="161">
        <f t="shared" si="90"/>
        <v>2019</v>
      </c>
      <c r="D866" s="35" t="s">
        <v>273</v>
      </c>
      <c r="E866" s="227">
        <v>43739</v>
      </c>
      <c r="F866" s="156">
        <v>237351.25</v>
      </c>
      <c r="G866" s="131">
        <f t="shared" si="91"/>
        <v>42533.343999999997</v>
      </c>
      <c r="H866" s="156">
        <v>398.53</v>
      </c>
      <c r="I866" s="156">
        <v>1872.51</v>
      </c>
      <c r="J866" s="156">
        <v>0</v>
      </c>
      <c r="K866" s="131">
        <f t="shared" si="92"/>
        <v>2271.04</v>
      </c>
      <c r="L866" s="134">
        <v>0.1792</v>
      </c>
    </row>
    <row r="867" spans="3:12">
      <c r="C867" s="161">
        <f t="shared" si="90"/>
        <v>2019</v>
      </c>
      <c r="D867" s="35" t="s">
        <v>273</v>
      </c>
      <c r="E867" s="227">
        <v>43770</v>
      </c>
      <c r="F867" s="156">
        <v>248306.18</v>
      </c>
      <c r="G867" s="131">
        <f t="shared" si="91"/>
        <v>44496.467455999998</v>
      </c>
      <c r="H867" s="156">
        <v>628.21</v>
      </c>
      <c r="I867" s="156">
        <v>2985.33</v>
      </c>
      <c r="J867" s="156">
        <v>0</v>
      </c>
      <c r="K867" s="131">
        <f t="shared" si="92"/>
        <v>3613.54</v>
      </c>
      <c r="L867" s="134">
        <v>0.1792</v>
      </c>
    </row>
    <row r="868" spans="3:12">
      <c r="C868" s="161">
        <f t="shared" si="90"/>
        <v>2019</v>
      </c>
      <c r="D868" s="35" t="s">
        <v>273</v>
      </c>
      <c r="E868" s="227">
        <v>43800</v>
      </c>
      <c r="F868" s="156">
        <v>225352.52</v>
      </c>
      <c r="G868" s="131">
        <f t="shared" si="91"/>
        <v>40383.171583999996</v>
      </c>
      <c r="H868" s="156">
        <v>411.01799999999997</v>
      </c>
      <c r="I868" s="156">
        <v>0</v>
      </c>
      <c r="J868" s="156">
        <v>0</v>
      </c>
      <c r="K868" s="131">
        <f t="shared" si="92"/>
        <v>411.01799999999997</v>
      </c>
      <c r="L868" s="134">
        <v>0.1792</v>
      </c>
    </row>
    <row r="869" spans="3:12">
      <c r="C869" s="161">
        <f t="shared" si="90"/>
        <v>2020</v>
      </c>
      <c r="D869" s="35" t="s">
        <v>273</v>
      </c>
      <c r="E869" s="227">
        <v>43831</v>
      </c>
      <c r="F869" s="156">
        <v>241928.33</v>
      </c>
      <c r="G869" s="131">
        <f t="shared" si="91"/>
        <v>43353.556735999999</v>
      </c>
      <c r="H869" s="156">
        <v>4093.34</v>
      </c>
      <c r="I869" s="156">
        <v>3156.41</v>
      </c>
      <c r="J869" s="156">
        <v>423.22</v>
      </c>
      <c r="K869" s="131">
        <f t="shared" si="92"/>
        <v>7672.97</v>
      </c>
      <c r="L869" s="134">
        <v>0.1792</v>
      </c>
    </row>
    <row r="870" spans="3:12">
      <c r="C870" s="161">
        <f t="shared" si="90"/>
        <v>2020</v>
      </c>
      <c r="D870" s="35" t="s">
        <v>273</v>
      </c>
      <c r="E870" s="227">
        <v>43862</v>
      </c>
      <c r="F870" s="156">
        <v>225702.39999999999</v>
      </c>
      <c r="G870" s="131">
        <f t="shared" si="91"/>
        <v>40445.870080000001</v>
      </c>
      <c r="H870" s="156">
        <v>6087.29</v>
      </c>
      <c r="I870" s="156">
        <v>12909.12</v>
      </c>
      <c r="J870" s="156">
        <v>0</v>
      </c>
      <c r="K870" s="131">
        <f t="shared" si="92"/>
        <v>18996.41</v>
      </c>
      <c r="L870" s="134">
        <v>0.1792</v>
      </c>
    </row>
    <row r="871" spans="3:12">
      <c r="C871" s="161">
        <f t="shared" si="90"/>
        <v>2020</v>
      </c>
      <c r="D871" s="35" t="s">
        <v>273</v>
      </c>
      <c r="E871" s="227">
        <v>43891</v>
      </c>
      <c r="F871" s="156">
        <v>235268.36767499999</v>
      </c>
      <c r="G871" s="131">
        <f t="shared" si="91"/>
        <v>42160.091487359998</v>
      </c>
      <c r="H871" s="156">
        <v>11061.42</v>
      </c>
      <c r="I871" s="156">
        <v>4753.51</v>
      </c>
      <c r="J871" s="156">
        <v>0</v>
      </c>
      <c r="K871" s="131">
        <f t="shared" si="92"/>
        <v>15814.93</v>
      </c>
      <c r="L871" s="134">
        <v>0.1792</v>
      </c>
    </row>
    <row r="872" spans="3:12">
      <c r="C872" s="161">
        <f t="shared" si="90"/>
        <v>2020</v>
      </c>
      <c r="D872" s="35" t="s">
        <v>273</v>
      </c>
      <c r="E872" s="227">
        <v>43922</v>
      </c>
      <c r="F872" s="156">
        <v>230971.16459999999</v>
      </c>
      <c r="G872" s="131">
        <f t="shared" si="91"/>
        <v>41390.032696319999</v>
      </c>
      <c r="H872" s="156">
        <v>1914.7</v>
      </c>
      <c r="I872" s="156">
        <v>0</v>
      </c>
      <c r="J872" s="156">
        <v>0</v>
      </c>
      <c r="K872" s="131">
        <f t="shared" si="92"/>
        <v>1914.7</v>
      </c>
      <c r="L872" s="134">
        <v>0.1792</v>
      </c>
    </row>
    <row r="873" spans="3:12">
      <c r="C873" s="161">
        <f t="shared" si="90"/>
        <v>2020</v>
      </c>
      <c r="D873" s="35" t="s">
        <v>273</v>
      </c>
      <c r="E873" s="227">
        <v>43952</v>
      </c>
      <c r="F873" s="156">
        <v>211749.04</v>
      </c>
      <c r="G873" s="131">
        <f t="shared" si="91"/>
        <v>37945.427968000004</v>
      </c>
      <c r="H873" s="156">
        <v>166.74</v>
      </c>
      <c r="I873" s="156">
        <v>1471.98</v>
      </c>
      <c r="J873" s="156">
        <v>0</v>
      </c>
      <c r="K873" s="131">
        <f t="shared" si="92"/>
        <v>1638.72</v>
      </c>
      <c r="L873" s="134">
        <v>0.1792</v>
      </c>
    </row>
    <row r="874" spans="3:12">
      <c r="C874" s="161">
        <f t="shared" si="90"/>
        <v>2020</v>
      </c>
      <c r="D874" s="35" t="s">
        <v>273</v>
      </c>
      <c r="E874" s="227">
        <v>43983</v>
      </c>
      <c r="F874" s="156">
        <v>211767.42</v>
      </c>
      <c r="G874" s="131">
        <f t="shared" si="91"/>
        <v>37948.721664000004</v>
      </c>
      <c r="H874" s="156">
        <v>6291.12</v>
      </c>
      <c r="I874" s="156">
        <v>3677.06</v>
      </c>
      <c r="J874" s="156">
        <v>0</v>
      </c>
      <c r="K874" s="131">
        <f t="shared" si="92"/>
        <v>9968.18</v>
      </c>
      <c r="L874" s="134">
        <v>0.1792</v>
      </c>
    </row>
    <row r="875" spans="3:12">
      <c r="C875" s="161">
        <f t="shared" si="90"/>
        <v>2020</v>
      </c>
      <c r="D875" s="35" t="s">
        <v>273</v>
      </c>
      <c r="E875" s="227">
        <v>44013</v>
      </c>
      <c r="F875" s="156">
        <v>216851.49</v>
      </c>
      <c r="G875" s="131">
        <f t="shared" si="91"/>
        <v>38859.787007999999</v>
      </c>
      <c r="H875" s="156">
        <v>1382.2</v>
      </c>
      <c r="I875" s="156">
        <v>4031.78</v>
      </c>
      <c r="J875" s="156" t="s">
        <v>267</v>
      </c>
      <c r="K875" s="131">
        <f t="shared" si="92"/>
        <v>5413.9800000000005</v>
      </c>
      <c r="L875" s="134">
        <v>0.1792</v>
      </c>
    </row>
    <row r="876" spans="3:12">
      <c r="C876" s="161">
        <f t="shared" si="90"/>
        <v>2020</v>
      </c>
      <c r="D876" s="35" t="s">
        <v>273</v>
      </c>
      <c r="E876" s="227">
        <v>44044</v>
      </c>
      <c r="F876" s="156">
        <v>228871.84</v>
      </c>
      <c r="G876" s="131">
        <f t="shared" si="91"/>
        <v>41013.833727999998</v>
      </c>
      <c r="H876" s="156">
        <v>441.64</v>
      </c>
      <c r="I876" s="156">
        <v>0</v>
      </c>
      <c r="J876" s="156">
        <v>0</v>
      </c>
      <c r="K876" s="131">
        <f t="shared" si="92"/>
        <v>441.64</v>
      </c>
      <c r="L876" s="134">
        <v>0.1792</v>
      </c>
    </row>
    <row r="877" spans="3:12">
      <c r="C877" s="161">
        <f t="shared" si="90"/>
        <v>2020</v>
      </c>
      <c r="D877" s="35" t="s">
        <v>273</v>
      </c>
      <c r="E877" s="227">
        <v>44075</v>
      </c>
      <c r="F877" s="156">
        <v>240299.12</v>
      </c>
      <c r="G877" s="131">
        <f t="shared" si="91"/>
        <v>43061.602304</v>
      </c>
      <c r="H877" s="156">
        <v>3017.99</v>
      </c>
      <c r="I877" s="156">
        <v>96.28</v>
      </c>
      <c r="J877" s="156">
        <v>0</v>
      </c>
      <c r="K877" s="131">
        <f t="shared" si="92"/>
        <v>3114.27</v>
      </c>
      <c r="L877" s="134">
        <v>0.1792</v>
      </c>
    </row>
    <row r="878" spans="3:12">
      <c r="C878" s="161">
        <f t="shared" si="90"/>
        <v>2020</v>
      </c>
      <c r="D878" s="35" t="s">
        <v>273</v>
      </c>
      <c r="E878" s="227">
        <v>44105</v>
      </c>
      <c r="F878" s="156">
        <v>260312.88</v>
      </c>
      <c r="G878" s="131">
        <f t="shared" si="91"/>
        <v>46648.068096000003</v>
      </c>
      <c r="H878" s="156">
        <v>908.31</v>
      </c>
      <c r="I878" s="156">
        <v>1007.43</v>
      </c>
      <c r="J878" s="156">
        <v>0</v>
      </c>
      <c r="K878" s="131">
        <f t="shared" si="92"/>
        <v>1915.7399999999998</v>
      </c>
      <c r="L878" s="134">
        <v>0.1792</v>
      </c>
    </row>
    <row r="879" spans="3:12">
      <c r="C879" s="161">
        <f t="shared" si="90"/>
        <v>2020</v>
      </c>
      <c r="D879" s="35" t="s">
        <v>273</v>
      </c>
      <c r="E879" s="227">
        <v>44136</v>
      </c>
      <c r="F879" s="156">
        <v>229918.85</v>
      </c>
      <c r="G879" s="131">
        <f t="shared" si="91"/>
        <v>41201.457920000001</v>
      </c>
      <c r="H879" s="156">
        <v>4178.76</v>
      </c>
      <c r="I879" s="156">
        <v>0</v>
      </c>
      <c r="J879" s="156">
        <v>0</v>
      </c>
      <c r="K879" s="131">
        <f t="shared" si="92"/>
        <v>4178.76</v>
      </c>
      <c r="L879" s="134">
        <v>0.1792</v>
      </c>
    </row>
    <row r="880" spans="3:12">
      <c r="C880" s="161">
        <f t="shared" si="90"/>
        <v>2020</v>
      </c>
      <c r="D880" s="35" t="s">
        <v>273</v>
      </c>
      <c r="E880" s="227">
        <v>44166</v>
      </c>
      <c r="F880" s="156">
        <v>245040.71</v>
      </c>
      <c r="G880" s="131">
        <f t="shared" si="91"/>
        <v>43911.295231999997</v>
      </c>
      <c r="H880" s="156">
        <v>6473.82</v>
      </c>
      <c r="I880" s="156">
        <v>2148.0100000000002</v>
      </c>
      <c r="J880" s="156">
        <v>0</v>
      </c>
      <c r="K880" s="131">
        <f t="shared" si="92"/>
        <v>8621.83</v>
      </c>
      <c r="L880" s="134">
        <v>0.1792</v>
      </c>
    </row>
    <row r="881" spans="3:12">
      <c r="C881" s="161">
        <f t="shared" si="90"/>
        <v>2021</v>
      </c>
      <c r="D881" s="35" t="s">
        <v>273</v>
      </c>
      <c r="E881" s="227">
        <v>44197</v>
      </c>
      <c r="F881" s="156">
        <v>256143.8</v>
      </c>
      <c r="G881" s="131">
        <f t="shared" si="91"/>
        <v>45900.968959999998</v>
      </c>
      <c r="H881" s="156">
        <v>1510.16</v>
      </c>
      <c r="I881" s="156">
        <v>0</v>
      </c>
      <c r="J881" s="156">
        <v>0</v>
      </c>
      <c r="K881" s="131">
        <f t="shared" si="92"/>
        <v>1510.16</v>
      </c>
      <c r="L881" s="134">
        <v>0.1792</v>
      </c>
    </row>
    <row r="882" spans="3:12">
      <c r="C882" s="161">
        <f t="shared" si="90"/>
        <v>2021</v>
      </c>
      <c r="D882" s="35" t="s">
        <v>273</v>
      </c>
      <c r="E882" s="227">
        <v>44229</v>
      </c>
      <c r="F882" s="156">
        <v>231165.05</v>
      </c>
      <c r="G882" s="131">
        <f t="shared" si="91"/>
        <v>41424.776959999996</v>
      </c>
      <c r="H882" s="156">
        <v>919.94</v>
      </c>
      <c r="I882" s="156">
        <v>321.99</v>
      </c>
      <c r="J882" s="156">
        <v>0</v>
      </c>
      <c r="K882" s="131">
        <f t="shared" si="92"/>
        <v>1241.93</v>
      </c>
      <c r="L882" s="134">
        <v>0.1792</v>
      </c>
    </row>
    <row r="883" spans="3:12">
      <c r="C883" s="161">
        <f t="shared" si="90"/>
        <v>2021</v>
      </c>
      <c r="D883" s="35" t="s">
        <v>273</v>
      </c>
      <c r="E883" s="227">
        <v>44258</v>
      </c>
      <c r="F883" s="156">
        <v>221147.55</v>
      </c>
      <c r="G883" s="131">
        <f t="shared" si="91"/>
        <v>39629.640959999997</v>
      </c>
      <c r="H883" s="156">
        <v>692.96</v>
      </c>
      <c r="I883" s="156">
        <v>705.64</v>
      </c>
      <c r="J883" s="156">
        <v>0</v>
      </c>
      <c r="K883" s="131">
        <f t="shared" si="92"/>
        <v>1398.6</v>
      </c>
      <c r="L883" s="134">
        <v>0.1792</v>
      </c>
    </row>
    <row r="884" spans="3:12">
      <c r="C884" s="161">
        <f t="shared" si="90"/>
        <v>2021</v>
      </c>
      <c r="D884" s="35" t="s">
        <v>273</v>
      </c>
      <c r="E884" s="227">
        <v>44290</v>
      </c>
      <c r="F884" s="156">
        <v>236773.99</v>
      </c>
      <c r="G884" s="131">
        <f t="shared" si="91"/>
        <v>42429.899008</v>
      </c>
      <c r="H884" s="156">
        <v>5868.35</v>
      </c>
      <c r="I884" s="156">
        <v>1706.87</v>
      </c>
      <c r="J884" s="156">
        <v>0</v>
      </c>
      <c r="K884" s="131">
        <f t="shared" si="92"/>
        <v>7575.22</v>
      </c>
      <c r="L884" s="134">
        <v>0.1792</v>
      </c>
    </row>
    <row r="885" spans="3:12">
      <c r="C885" s="161">
        <f t="shared" si="90"/>
        <v>2021</v>
      </c>
      <c r="D885" s="35" t="s">
        <v>273</v>
      </c>
      <c r="E885" s="227">
        <v>44321</v>
      </c>
      <c r="F885" s="156">
        <v>222875.37</v>
      </c>
      <c r="G885" s="131">
        <f t="shared" si="91"/>
        <v>39939.266303999997</v>
      </c>
      <c r="H885" s="156">
        <v>4719.21</v>
      </c>
      <c r="I885" s="156">
        <v>0</v>
      </c>
      <c r="J885" s="156">
        <v>0</v>
      </c>
      <c r="K885" s="131">
        <f t="shared" si="92"/>
        <v>4719.21</v>
      </c>
      <c r="L885" s="134">
        <v>0.1792</v>
      </c>
    </row>
    <row r="886" spans="3:12">
      <c r="C886" s="161">
        <f t="shared" si="90"/>
        <v>2021</v>
      </c>
      <c r="D886" s="35" t="s">
        <v>273</v>
      </c>
      <c r="E886" s="227">
        <v>44353</v>
      </c>
      <c r="F886" s="156">
        <v>229580.35</v>
      </c>
      <c r="G886" s="131">
        <f t="shared" si="91"/>
        <v>41140.798719999999</v>
      </c>
      <c r="H886" s="156">
        <v>234.19</v>
      </c>
      <c r="I886" s="156">
        <v>0</v>
      </c>
      <c r="J886" s="156">
        <v>0</v>
      </c>
      <c r="K886" s="131">
        <f t="shared" si="92"/>
        <v>234.19</v>
      </c>
      <c r="L886" s="134">
        <v>0.1792</v>
      </c>
    </row>
    <row r="887" spans="3:12">
      <c r="C887" s="161">
        <f t="shared" si="90"/>
        <v>2015</v>
      </c>
      <c r="D887" s="35" t="s">
        <v>274</v>
      </c>
      <c r="E887" s="227">
        <v>42309</v>
      </c>
      <c r="F887" s="156">
        <v>614704.12</v>
      </c>
      <c r="G887" s="131">
        <f t="shared" si="91"/>
        <v>110154.978304</v>
      </c>
      <c r="H887" s="156">
        <v>13451.49</v>
      </c>
      <c r="I887" s="156">
        <v>10230.040000000001</v>
      </c>
      <c r="J887" s="156">
        <v>0</v>
      </c>
      <c r="K887" s="131">
        <f t="shared" si="92"/>
        <v>23681.53</v>
      </c>
      <c r="L887" s="134">
        <v>0.1792</v>
      </c>
    </row>
    <row r="888" spans="3:12">
      <c r="C888" s="161">
        <f t="shared" si="90"/>
        <v>2015</v>
      </c>
      <c r="D888" s="35" t="s">
        <v>274</v>
      </c>
      <c r="E888" s="227">
        <v>42339</v>
      </c>
      <c r="F888" s="156">
        <v>619466.59</v>
      </c>
      <c r="G888" s="131">
        <f t="shared" si="91"/>
        <v>111008.41292799999</v>
      </c>
      <c r="H888" s="156">
        <v>1994.64</v>
      </c>
      <c r="I888" s="156">
        <v>7531.97</v>
      </c>
      <c r="J888" s="156">
        <v>0</v>
      </c>
      <c r="K888" s="131">
        <f t="shared" si="92"/>
        <v>9526.61</v>
      </c>
      <c r="L888" s="134">
        <v>0.1792</v>
      </c>
    </row>
    <row r="889" spans="3:12">
      <c r="C889" s="161">
        <f t="shared" si="90"/>
        <v>2016</v>
      </c>
      <c r="D889" s="35" t="s">
        <v>274</v>
      </c>
      <c r="E889" s="227">
        <v>42370</v>
      </c>
      <c r="F889" s="156">
        <v>689928.41</v>
      </c>
      <c r="G889" s="131">
        <f t="shared" si="91"/>
        <v>123635.171072</v>
      </c>
      <c r="H889" s="156">
        <v>3033.07</v>
      </c>
      <c r="I889" s="156">
        <v>7769.41</v>
      </c>
      <c r="J889" s="156">
        <v>0</v>
      </c>
      <c r="K889" s="131">
        <f t="shared" si="92"/>
        <v>10802.48</v>
      </c>
      <c r="L889" s="134">
        <v>0.1792</v>
      </c>
    </row>
    <row r="890" spans="3:12">
      <c r="C890" s="161">
        <f t="shared" si="90"/>
        <v>2016</v>
      </c>
      <c r="D890" s="35" t="s">
        <v>274</v>
      </c>
      <c r="E890" s="227">
        <v>42401</v>
      </c>
      <c r="F890" s="156">
        <v>639281.61</v>
      </c>
      <c r="G890" s="131">
        <f t="shared" si="91"/>
        <v>114559.26451199999</v>
      </c>
      <c r="H890" s="156">
        <v>1632.54</v>
      </c>
      <c r="I890" s="156">
        <v>8870.56</v>
      </c>
      <c r="J890" s="156">
        <v>3933.71</v>
      </c>
      <c r="K890" s="131">
        <f t="shared" si="92"/>
        <v>14436.809999999998</v>
      </c>
      <c r="L890" s="134">
        <v>0.1792</v>
      </c>
    </row>
    <row r="891" spans="3:12">
      <c r="C891" s="161">
        <f t="shared" si="90"/>
        <v>2016</v>
      </c>
      <c r="D891" s="35" t="s">
        <v>274</v>
      </c>
      <c r="E891" s="227">
        <v>42430</v>
      </c>
      <c r="F891" s="156">
        <v>576415.73</v>
      </c>
      <c r="G891" s="131">
        <f t="shared" si="91"/>
        <v>103293.69881599999</v>
      </c>
      <c r="H891" s="156">
        <v>2337.1799999999998</v>
      </c>
      <c r="I891" s="156">
        <v>26053.23</v>
      </c>
      <c r="J891" s="156">
        <v>0</v>
      </c>
      <c r="K891" s="131">
        <f t="shared" si="92"/>
        <v>28390.41</v>
      </c>
      <c r="L891" s="134">
        <v>0.1792</v>
      </c>
    </row>
    <row r="892" spans="3:12">
      <c r="C892" s="161">
        <f t="shared" si="90"/>
        <v>2016</v>
      </c>
      <c r="D892" s="35" t="s">
        <v>274</v>
      </c>
      <c r="E892" s="227">
        <v>42461</v>
      </c>
      <c r="F892" s="156">
        <v>651474.05000000005</v>
      </c>
      <c r="G892" s="131">
        <f t="shared" si="91"/>
        <v>116744.14976</v>
      </c>
      <c r="H892" s="156">
        <v>3445.19</v>
      </c>
      <c r="I892" s="156">
        <v>8221.4500000000007</v>
      </c>
      <c r="J892" s="156">
        <v>0</v>
      </c>
      <c r="K892" s="131">
        <f t="shared" si="92"/>
        <v>11666.640000000001</v>
      </c>
      <c r="L892" s="134">
        <v>0.1792</v>
      </c>
    </row>
    <row r="893" spans="3:12">
      <c r="C893" s="161">
        <f t="shared" si="90"/>
        <v>2016</v>
      </c>
      <c r="D893" s="35" t="s">
        <v>274</v>
      </c>
      <c r="E893" s="227">
        <v>42491</v>
      </c>
      <c r="F893" s="156">
        <v>589101.4</v>
      </c>
      <c r="G893" s="131">
        <f t="shared" si="91"/>
        <v>105566.97088000001</v>
      </c>
      <c r="H893" s="156">
        <v>1815.37</v>
      </c>
      <c r="I893" s="156">
        <v>28821.77</v>
      </c>
      <c r="J893" s="156">
        <v>0</v>
      </c>
      <c r="K893" s="131">
        <f t="shared" si="92"/>
        <v>30637.14</v>
      </c>
      <c r="L893" s="134">
        <v>0.1792</v>
      </c>
    </row>
    <row r="894" spans="3:12">
      <c r="C894" s="161">
        <f t="shared" si="90"/>
        <v>2016</v>
      </c>
      <c r="D894" s="35" t="s">
        <v>274</v>
      </c>
      <c r="E894" s="227">
        <v>42522</v>
      </c>
      <c r="F894" s="156">
        <v>581552.43000000005</v>
      </c>
      <c r="G894" s="131">
        <f t="shared" si="91"/>
        <v>104214.195456</v>
      </c>
      <c r="H894" s="156">
        <v>6353.5</v>
      </c>
      <c r="I894" s="156">
        <v>145730.85</v>
      </c>
      <c r="J894" s="156">
        <v>48595.23</v>
      </c>
      <c r="K894" s="131">
        <f t="shared" si="92"/>
        <v>200679.58000000002</v>
      </c>
      <c r="L894" s="134">
        <v>0.1792</v>
      </c>
    </row>
    <row r="895" spans="3:12">
      <c r="C895" s="161">
        <f t="shared" si="90"/>
        <v>2016</v>
      </c>
      <c r="D895" s="35" t="s">
        <v>274</v>
      </c>
      <c r="E895" s="227">
        <v>42552</v>
      </c>
      <c r="F895" s="156">
        <v>630982.27</v>
      </c>
      <c r="G895" s="131">
        <f t="shared" si="91"/>
        <v>113072.022784</v>
      </c>
      <c r="H895" s="156">
        <v>3483.02</v>
      </c>
      <c r="I895" s="156">
        <v>5320.29</v>
      </c>
      <c r="J895" s="156">
        <v>0</v>
      </c>
      <c r="K895" s="131">
        <f t="shared" si="92"/>
        <v>8803.31</v>
      </c>
      <c r="L895" s="134">
        <v>0.1792</v>
      </c>
    </row>
    <row r="896" spans="3:12">
      <c r="C896" s="161">
        <f t="shared" si="90"/>
        <v>2016</v>
      </c>
      <c r="D896" s="35" t="s">
        <v>274</v>
      </c>
      <c r="E896" s="227">
        <v>42583</v>
      </c>
      <c r="F896" s="156">
        <v>688938.24</v>
      </c>
      <c r="G896" s="131">
        <f t="shared" si="91"/>
        <v>123457.73260799999</v>
      </c>
      <c r="H896" s="156">
        <v>7794.42</v>
      </c>
      <c r="I896" s="156">
        <v>7029.1</v>
      </c>
      <c r="J896" s="156">
        <v>0</v>
      </c>
      <c r="K896" s="131">
        <f t="shared" si="92"/>
        <v>14823.52</v>
      </c>
      <c r="L896" s="134">
        <v>0.1792</v>
      </c>
    </row>
    <row r="897" spans="3:12">
      <c r="C897" s="161">
        <f t="shared" si="90"/>
        <v>2016</v>
      </c>
      <c r="D897" s="35" t="s">
        <v>274</v>
      </c>
      <c r="E897" s="227">
        <v>42614</v>
      </c>
      <c r="F897" s="156">
        <v>649451.57999999996</v>
      </c>
      <c r="G897" s="131">
        <f t="shared" si="91"/>
        <v>116381.72313599999</v>
      </c>
      <c r="H897" s="156">
        <v>6571.3</v>
      </c>
      <c r="I897" s="156">
        <v>82139.81</v>
      </c>
      <c r="J897" s="156">
        <v>0</v>
      </c>
      <c r="K897" s="131">
        <f t="shared" si="92"/>
        <v>88711.11</v>
      </c>
      <c r="L897" s="134">
        <v>0.1792</v>
      </c>
    </row>
    <row r="898" spans="3:12">
      <c r="C898" s="161">
        <f t="shared" si="90"/>
        <v>2016</v>
      </c>
      <c r="D898" s="35" t="s">
        <v>274</v>
      </c>
      <c r="E898" s="227">
        <v>42644</v>
      </c>
      <c r="F898" s="156">
        <v>712865.56</v>
      </c>
      <c r="G898" s="131">
        <f t="shared" si="91"/>
        <v>127745.508352</v>
      </c>
      <c r="H898" s="156">
        <v>7047.08</v>
      </c>
      <c r="I898" s="156">
        <v>38297.360000000001</v>
      </c>
      <c r="J898" s="156">
        <v>478.84</v>
      </c>
      <c r="K898" s="131">
        <f t="shared" si="92"/>
        <v>45823.28</v>
      </c>
      <c r="L898" s="134">
        <v>0.1792</v>
      </c>
    </row>
    <row r="899" spans="3:12">
      <c r="C899" s="161">
        <f t="shared" si="90"/>
        <v>2016</v>
      </c>
      <c r="D899" s="35" t="s">
        <v>274</v>
      </c>
      <c r="E899" s="227">
        <v>42675</v>
      </c>
      <c r="F899" s="156">
        <v>716105.85</v>
      </c>
      <c r="G899" s="131">
        <f t="shared" si="91"/>
        <v>128326.16832</v>
      </c>
      <c r="H899" s="156">
        <v>11703.74</v>
      </c>
      <c r="I899" s="156">
        <v>14682.25</v>
      </c>
      <c r="J899" s="156">
        <v>0</v>
      </c>
      <c r="K899" s="131">
        <f t="shared" si="92"/>
        <v>26385.989999999998</v>
      </c>
      <c r="L899" s="134">
        <v>0.1792</v>
      </c>
    </row>
    <row r="900" spans="3:12">
      <c r="C900" s="161">
        <f t="shared" ref="C900:C963" si="93">YEAR(E900)</f>
        <v>2016</v>
      </c>
      <c r="D900" s="35" t="s">
        <v>274</v>
      </c>
      <c r="E900" s="227">
        <v>42705</v>
      </c>
      <c r="F900" s="156">
        <v>706341.36</v>
      </c>
      <c r="G900" s="131">
        <f t="shared" ref="G900:G963" si="94">F900*L900</f>
        <v>126576.37171199999</v>
      </c>
      <c r="H900" s="156">
        <v>9565.39</v>
      </c>
      <c r="I900" s="156">
        <v>6489.14</v>
      </c>
      <c r="J900" s="156">
        <v>9128.6200000000008</v>
      </c>
      <c r="K900" s="131">
        <f t="shared" ref="K900:K963" si="95">SUM(H900:J900)</f>
        <v>25183.15</v>
      </c>
      <c r="L900" s="134">
        <v>0.1792</v>
      </c>
    </row>
    <row r="901" spans="3:12">
      <c r="C901" s="161">
        <f t="shared" si="93"/>
        <v>2017</v>
      </c>
      <c r="D901" s="35" t="s">
        <v>274</v>
      </c>
      <c r="E901" s="227">
        <v>42736</v>
      </c>
      <c r="F901" s="156">
        <v>798129.26</v>
      </c>
      <c r="G901" s="131">
        <f t="shared" si="94"/>
        <v>143024.76339199999</v>
      </c>
      <c r="H901" s="156">
        <v>4844.45</v>
      </c>
      <c r="I901" s="156">
        <v>71110.5</v>
      </c>
      <c r="J901" s="156">
        <v>3125.52</v>
      </c>
      <c r="K901" s="131">
        <f t="shared" si="95"/>
        <v>79080.47</v>
      </c>
      <c r="L901" s="134">
        <v>0.1792</v>
      </c>
    </row>
    <row r="902" spans="3:12">
      <c r="C902" s="161">
        <f t="shared" si="93"/>
        <v>2017</v>
      </c>
      <c r="D902" s="35" t="s">
        <v>274</v>
      </c>
      <c r="E902" s="227">
        <v>42767</v>
      </c>
      <c r="F902" s="156">
        <v>734126.39</v>
      </c>
      <c r="G902" s="131">
        <f t="shared" si="94"/>
        <v>131555.44908799999</v>
      </c>
      <c r="H902" s="156">
        <v>5093.97</v>
      </c>
      <c r="I902" s="156">
        <v>69258.97</v>
      </c>
      <c r="J902" s="156">
        <v>974.2</v>
      </c>
      <c r="K902" s="131">
        <f t="shared" si="95"/>
        <v>75327.14</v>
      </c>
      <c r="L902" s="134">
        <v>0.1792</v>
      </c>
    </row>
    <row r="903" spans="3:12">
      <c r="C903" s="161">
        <f t="shared" si="93"/>
        <v>2017</v>
      </c>
      <c r="D903" s="35" t="s">
        <v>274</v>
      </c>
      <c r="E903" s="227">
        <v>42795</v>
      </c>
      <c r="F903" s="156">
        <v>660275.9</v>
      </c>
      <c r="G903" s="131">
        <f t="shared" si="94"/>
        <v>118321.44128</v>
      </c>
      <c r="H903" s="156">
        <v>4508.22</v>
      </c>
      <c r="I903" s="156">
        <v>13202.31</v>
      </c>
      <c r="J903" s="156">
        <v>0</v>
      </c>
      <c r="K903" s="131">
        <f t="shared" si="95"/>
        <v>17710.53</v>
      </c>
      <c r="L903" s="134">
        <v>0.1792</v>
      </c>
    </row>
    <row r="904" spans="3:12">
      <c r="C904" s="161">
        <f t="shared" si="93"/>
        <v>2017</v>
      </c>
      <c r="D904" s="35" t="s">
        <v>274</v>
      </c>
      <c r="E904" s="227">
        <v>42826</v>
      </c>
      <c r="F904" s="156">
        <v>684869.89</v>
      </c>
      <c r="G904" s="131">
        <f t="shared" si="94"/>
        <v>122728.684288</v>
      </c>
      <c r="H904" s="156">
        <v>2078.04</v>
      </c>
      <c r="I904" s="156">
        <v>8318.31</v>
      </c>
      <c r="J904" s="156">
        <v>1068.75</v>
      </c>
      <c r="K904" s="131">
        <f t="shared" si="95"/>
        <v>11465.099999999999</v>
      </c>
      <c r="L904" s="134">
        <v>0.1792</v>
      </c>
    </row>
    <row r="905" spans="3:12">
      <c r="C905" s="161">
        <f t="shared" si="93"/>
        <v>2017</v>
      </c>
      <c r="D905" s="35" t="s">
        <v>274</v>
      </c>
      <c r="E905" s="227">
        <v>42856</v>
      </c>
      <c r="F905" s="156">
        <v>634593.89</v>
      </c>
      <c r="G905" s="131">
        <f t="shared" si="94"/>
        <v>113719.22508800001</v>
      </c>
      <c r="H905" s="156">
        <v>30271.32</v>
      </c>
      <c r="I905" s="156">
        <v>867.73</v>
      </c>
      <c r="J905" s="156">
        <v>0</v>
      </c>
      <c r="K905" s="131">
        <f t="shared" si="95"/>
        <v>31139.05</v>
      </c>
      <c r="L905" s="134">
        <v>0.1792</v>
      </c>
    </row>
    <row r="906" spans="3:12">
      <c r="C906" s="161">
        <f t="shared" si="93"/>
        <v>2017</v>
      </c>
      <c r="D906" s="35" t="s">
        <v>274</v>
      </c>
      <c r="E906" s="227">
        <v>42887</v>
      </c>
      <c r="F906" s="156">
        <v>633525.73</v>
      </c>
      <c r="G906" s="131">
        <f t="shared" si="94"/>
        <v>113527.810816</v>
      </c>
      <c r="H906" s="156">
        <v>19893.740000000002</v>
      </c>
      <c r="I906" s="156">
        <v>21869.53</v>
      </c>
      <c r="J906" s="156">
        <v>0</v>
      </c>
      <c r="K906" s="131">
        <f t="shared" si="95"/>
        <v>41763.270000000004</v>
      </c>
      <c r="L906" s="134">
        <v>0.1792</v>
      </c>
    </row>
    <row r="907" spans="3:12">
      <c r="C907" s="161">
        <f t="shared" si="93"/>
        <v>2017</v>
      </c>
      <c r="D907" s="35" t="s">
        <v>274</v>
      </c>
      <c r="E907" s="227">
        <v>42917</v>
      </c>
      <c r="F907" s="156">
        <v>699860.2</v>
      </c>
      <c r="G907" s="131">
        <f t="shared" si="94"/>
        <v>125414.94783999999</v>
      </c>
      <c r="H907" s="156">
        <v>10564.07</v>
      </c>
      <c r="I907" s="156">
        <v>15633.13</v>
      </c>
      <c r="J907" s="156">
        <v>287.01</v>
      </c>
      <c r="K907" s="131">
        <f t="shared" si="95"/>
        <v>26484.209999999995</v>
      </c>
      <c r="L907" s="134">
        <v>0.1792</v>
      </c>
    </row>
    <row r="908" spans="3:12">
      <c r="C908" s="161">
        <f t="shared" si="93"/>
        <v>2017</v>
      </c>
      <c r="D908" s="35" t="s">
        <v>274</v>
      </c>
      <c r="E908" s="227">
        <v>42948</v>
      </c>
      <c r="F908" s="156">
        <v>768476.46</v>
      </c>
      <c r="G908" s="131">
        <f t="shared" si="94"/>
        <v>137710.98163199998</v>
      </c>
      <c r="H908" s="156">
        <v>146676.85999999999</v>
      </c>
      <c r="I908" s="156">
        <v>13308.42</v>
      </c>
      <c r="J908" s="156">
        <v>287.01</v>
      </c>
      <c r="K908" s="131">
        <f t="shared" si="95"/>
        <v>160272.29</v>
      </c>
      <c r="L908" s="134">
        <v>0.1792</v>
      </c>
    </row>
    <row r="909" spans="3:12">
      <c r="C909" s="161">
        <f t="shared" si="93"/>
        <v>2017</v>
      </c>
      <c r="D909" s="35" t="s">
        <v>274</v>
      </c>
      <c r="E909" s="227">
        <v>42979</v>
      </c>
      <c r="F909" s="156">
        <v>794612.2</v>
      </c>
      <c r="G909" s="131">
        <f t="shared" si="94"/>
        <v>142394.50623999999</v>
      </c>
      <c r="H909" s="156">
        <v>48744.55</v>
      </c>
      <c r="I909" s="156">
        <v>51116.04</v>
      </c>
      <c r="J909" s="156">
        <v>0</v>
      </c>
      <c r="K909" s="131">
        <f t="shared" si="95"/>
        <v>99860.59</v>
      </c>
      <c r="L909" s="134">
        <v>0.1792</v>
      </c>
    </row>
    <row r="910" spans="3:12">
      <c r="C910" s="161">
        <f t="shared" si="93"/>
        <v>2017</v>
      </c>
      <c r="D910" s="35" t="s">
        <v>274</v>
      </c>
      <c r="E910" s="227">
        <v>43009</v>
      </c>
      <c r="F910" s="156">
        <v>748086.49</v>
      </c>
      <c r="G910" s="131">
        <f t="shared" si="94"/>
        <v>134057.09900799999</v>
      </c>
      <c r="H910" s="156">
        <v>5041.7700000000004</v>
      </c>
      <c r="I910" s="156">
        <v>110718.81</v>
      </c>
      <c r="J910" s="156">
        <v>0</v>
      </c>
      <c r="K910" s="131">
        <f t="shared" si="95"/>
        <v>115760.58</v>
      </c>
      <c r="L910" s="134">
        <v>0.1792</v>
      </c>
    </row>
    <row r="911" spans="3:12">
      <c r="C911" s="161">
        <f t="shared" si="93"/>
        <v>2017</v>
      </c>
      <c r="D911" s="35" t="s">
        <v>274</v>
      </c>
      <c r="E911" s="227">
        <v>43040</v>
      </c>
      <c r="F911" s="156">
        <v>729459.05</v>
      </c>
      <c r="G911" s="131">
        <f t="shared" si="94"/>
        <v>130719.06176000001</v>
      </c>
      <c r="H911" s="156">
        <v>30890.95</v>
      </c>
      <c r="I911" s="156">
        <v>34685.279999999999</v>
      </c>
      <c r="J911" s="156">
        <v>145676</v>
      </c>
      <c r="K911" s="131">
        <f t="shared" si="95"/>
        <v>211252.22999999998</v>
      </c>
      <c r="L911" s="134">
        <v>0.1792</v>
      </c>
    </row>
    <row r="912" spans="3:12">
      <c r="C912" s="161">
        <f t="shared" si="93"/>
        <v>2017</v>
      </c>
      <c r="D912" s="35" t="s">
        <v>274</v>
      </c>
      <c r="E912" s="227">
        <v>43070</v>
      </c>
      <c r="F912" s="156">
        <v>716593.51</v>
      </c>
      <c r="G912" s="131">
        <f t="shared" si="94"/>
        <v>128413.556992</v>
      </c>
      <c r="H912" s="156">
        <v>285116.89</v>
      </c>
      <c r="I912" s="156">
        <v>19091.73</v>
      </c>
      <c r="J912" s="156">
        <v>16000</v>
      </c>
      <c r="K912" s="131">
        <f t="shared" si="95"/>
        <v>320208.62</v>
      </c>
      <c r="L912" s="134">
        <v>0.1792</v>
      </c>
    </row>
    <row r="913" spans="3:12">
      <c r="C913" s="161">
        <f t="shared" si="93"/>
        <v>2018</v>
      </c>
      <c r="D913" s="35" t="s">
        <v>274</v>
      </c>
      <c r="E913" s="227">
        <v>43101</v>
      </c>
      <c r="F913" s="156">
        <v>795586.89</v>
      </c>
      <c r="G913" s="131">
        <f t="shared" si="94"/>
        <v>142569.17068800001</v>
      </c>
      <c r="H913" s="156">
        <v>1697.4</v>
      </c>
      <c r="I913" s="156">
        <v>7499.7</v>
      </c>
      <c r="J913" s="156">
        <v>0</v>
      </c>
      <c r="K913" s="131">
        <f t="shared" si="95"/>
        <v>9197.1</v>
      </c>
      <c r="L913" s="134">
        <v>0.1792</v>
      </c>
    </row>
    <row r="914" spans="3:12">
      <c r="C914" s="161">
        <f t="shared" si="93"/>
        <v>2018</v>
      </c>
      <c r="D914" s="35" t="s">
        <v>274</v>
      </c>
      <c r="E914" s="227">
        <v>43132</v>
      </c>
      <c r="F914" s="156">
        <v>746927.16</v>
      </c>
      <c r="G914" s="131">
        <f t="shared" si="94"/>
        <v>133849.347072</v>
      </c>
      <c r="H914" s="156">
        <v>4074</v>
      </c>
      <c r="I914" s="156">
        <v>30255.88</v>
      </c>
      <c r="J914" s="156">
        <v>0</v>
      </c>
      <c r="K914" s="131">
        <f t="shared" si="95"/>
        <v>34329.880000000005</v>
      </c>
      <c r="L914" s="134">
        <v>0.1792</v>
      </c>
    </row>
    <row r="915" spans="3:12">
      <c r="C915" s="161">
        <f t="shared" si="93"/>
        <v>2018</v>
      </c>
      <c r="D915" s="35" t="s">
        <v>274</v>
      </c>
      <c r="E915" s="227">
        <v>43160</v>
      </c>
      <c r="F915" s="156">
        <v>655718.62</v>
      </c>
      <c r="G915" s="131">
        <f t="shared" si="94"/>
        <v>117504.776704</v>
      </c>
      <c r="H915" s="156">
        <v>40225.61</v>
      </c>
      <c r="I915" s="156">
        <v>16085.41</v>
      </c>
      <c r="J915" s="156">
        <v>0</v>
      </c>
      <c r="K915" s="131">
        <f t="shared" si="95"/>
        <v>56311.020000000004</v>
      </c>
      <c r="L915" s="134">
        <v>0.1792</v>
      </c>
    </row>
    <row r="916" spans="3:12">
      <c r="C916" s="161">
        <f t="shared" si="93"/>
        <v>2018</v>
      </c>
      <c r="D916" s="35" t="s">
        <v>274</v>
      </c>
      <c r="E916" s="227">
        <v>43191</v>
      </c>
      <c r="F916" s="156">
        <v>750112.75</v>
      </c>
      <c r="G916" s="131">
        <f t="shared" si="94"/>
        <v>134420.20480000001</v>
      </c>
      <c r="H916" s="156">
        <v>1490.19</v>
      </c>
      <c r="I916" s="156">
        <v>51593.760000000002</v>
      </c>
      <c r="J916" s="156">
        <v>0</v>
      </c>
      <c r="K916" s="131">
        <f t="shared" si="95"/>
        <v>53083.950000000004</v>
      </c>
      <c r="L916" s="134">
        <v>0.1792</v>
      </c>
    </row>
    <row r="917" spans="3:12">
      <c r="C917" s="161">
        <f t="shared" si="93"/>
        <v>2018</v>
      </c>
      <c r="D917" s="35" t="s">
        <v>274</v>
      </c>
      <c r="E917" s="227">
        <v>43221</v>
      </c>
      <c r="F917" s="156">
        <v>730652.98</v>
      </c>
      <c r="G917" s="131">
        <f t="shared" si="94"/>
        <v>130933.014016</v>
      </c>
      <c r="H917" s="156">
        <v>1986.86</v>
      </c>
      <c r="I917" s="156">
        <v>21780.43</v>
      </c>
      <c r="J917" s="156">
        <v>0</v>
      </c>
      <c r="K917" s="131">
        <f t="shared" si="95"/>
        <v>23767.29</v>
      </c>
      <c r="L917" s="134">
        <v>0.1792</v>
      </c>
    </row>
    <row r="918" spans="3:12">
      <c r="C918" s="161">
        <f t="shared" si="93"/>
        <v>2018</v>
      </c>
      <c r="D918" s="35" t="s">
        <v>274</v>
      </c>
      <c r="E918" s="227">
        <v>43252</v>
      </c>
      <c r="F918" s="156">
        <v>679051.64</v>
      </c>
      <c r="G918" s="131">
        <f t="shared" si="94"/>
        <v>121686.05388799999</v>
      </c>
      <c r="H918" s="156">
        <v>20507.45</v>
      </c>
      <c r="I918" s="156">
        <v>85780.19</v>
      </c>
      <c r="J918" s="156">
        <v>0</v>
      </c>
      <c r="K918" s="131">
        <f t="shared" si="95"/>
        <v>106287.64</v>
      </c>
      <c r="L918" s="134">
        <v>0.1792</v>
      </c>
    </row>
    <row r="919" spans="3:12">
      <c r="C919" s="161">
        <f t="shared" si="93"/>
        <v>2018</v>
      </c>
      <c r="D919" s="35" t="s">
        <v>274</v>
      </c>
      <c r="E919" s="227">
        <v>43282</v>
      </c>
      <c r="F919" s="156">
        <v>715997.01</v>
      </c>
      <c r="G919" s="131">
        <f t="shared" si="94"/>
        <v>128306.664192</v>
      </c>
      <c r="H919" s="156">
        <v>4246.3100000000004</v>
      </c>
      <c r="I919" s="156">
        <v>33262.29</v>
      </c>
      <c r="J919" s="156">
        <v>2300</v>
      </c>
      <c r="K919" s="131">
        <f t="shared" si="95"/>
        <v>39808.6</v>
      </c>
      <c r="L919" s="134">
        <v>0.1792</v>
      </c>
    </row>
    <row r="920" spans="3:12">
      <c r="C920" s="161">
        <f t="shared" si="93"/>
        <v>2018</v>
      </c>
      <c r="D920" s="35" t="s">
        <v>274</v>
      </c>
      <c r="E920" s="227">
        <v>43313</v>
      </c>
      <c r="F920" s="156">
        <v>716649.82</v>
      </c>
      <c r="G920" s="131">
        <f t="shared" si="94"/>
        <v>128423.64774399999</v>
      </c>
      <c r="H920" s="156">
        <v>7613.53</v>
      </c>
      <c r="I920" s="156">
        <v>16250.22</v>
      </c>
      <c r="J920" s="156">
        <v>0</v>
      </c>
      <c r="K920" s="131">
        <f t="shared" si="95"/>
        <v>23863.75</v>
      </c>
      <c r="L920" s="134">
        <v>0.1792</v>
      </c>
    </row>
    <row r="921" spans="3:12">
      <c r="C921" s="161">
        <f t="shared" si="93"/>
        <v>2018</v>
      </c>
      <c r="D921" s="35" t="s">
        <v>274</v>
      </c>
      <c r="E921" s="227">
        <v>43344</v>
      </c>
      <c r="F921" s="156">
        <v>732565.55</v>
      </c>
      <c r="G921" s="131">
        <f t="shared" si="94"/>
        <v>131275.74656</v>
      </c>
      <c r="H921" s="156">
        <v>2643.66</v>
      </c>
      <c r="I921" s="156">
        <v>81412.94</v>
      </c>
      <c r="J921" s="156">
        <v>379.18</v>
      </c>
      <c r="K921" s="131">
        <f t="shared" si="95"/>
        <v>84435.78</v>
      </c>
      <c r="L921" s="134">
        <v>0.1792</v>
      </c>
    </row>
    <row r="922" spans="3:12">
      <c r="C922" s="161">
        <f t="shared" si="93"/>
        <v>2018</v>
      </c>
      <c r="D922" s="35" t="s">
        <v>274</v>
      </c>
      <c r="E922" s="227">
        <v>43374</v>
      </c>
      <c r="F922" s="156">
        <v>743372.29</v>
      </c>
      <c r="G922" s="131">
        <f t="shared" si="94"/>
        <v>133212.31436799999</v>
      </c>
      <c r="H922" s="156">
        <v>7801.04</v>
      </c>
      <c r="I922" s="156">
        <v>54369.42</v>
      </c>
      <c r="J922" s="156">
        <v>472.09</v>
      </c>
      <c r="K922" s="131">
        <f t="shared" si="95"/>
        <v>62642.549999999996</v>
      </c>
      <c r="L922" s="134">
        <v>0.1792</v>
      </c>
    </row>
    <row r="923" spans="3:12">
      <c r="C923" s="161">
        <f t="shared" si="93"/>
        <v>2018</v>
      </c>
      <c r="D923" s="35" t="s">
        <v>274</v>
      </c>
      <c r="E923" s="227">
        <v>43405</v>
      </c>
      <c r="F923" s="156">
        <v>788983.75</v>
      </c>
      <c r="G923" s="131">
        <f t="shared" si="94"/>
        <v>141385.88800000001</v>
      </c>
      <c r="H923" s="156">
        <v>1905.82</v>
      </c>
      <c r="I923" s="156">
        <v>53735.199999999997</v>
      </c>
      <c r="J923" s="156">
        <v>1607.58</v>
      </c>
      <c r="K923" s="131">
        <f t="shared" si="95"/>
        <v>57248.6</v>
      </c>
      <c r="L923" s="134">
        <v>0.1792</v>
      </c>
    </row>
    <row r="924" spans="3:12">
      <c r="C924" s="161">
        <f t="shared" si="93"/>
        <v>2018</v>
      </c>
      <c r="D924" s="35" t="s">
        <v>274</v>
      </c>
      <c r="E924" s="227">
        <v>43435</v>
      </c>
      <c r="F924" s="156">
        <v>803774.36</v>
      </c>
      <c r="G924" s="131">
        <f t="shared" si="94"/>
        <v>144036.36531200001</v>
      </c>
      <c r="H924" s="156">
        <v>7036.74</v>
      </c>
      <c r="I924" s="156">
        <v>70008.89</v>
      </c>
      <c r="J924" s="156" t="s">
        <v>267</v>
      </c>
      <c r="K924" s="131">
        <f t="shared" si="95"/>
        <v>77045.63</v>
      </c>
      <c r="L924" s="134">
        <v>0.1792</v>
      </c>
    </row>
    <row r="925" spans="3:12">
      <c r="C925" s="161">
        <f t="shared" si="93"/>
        <v>2019</v>
      </c>
      <c r="D925" s="35" t="s">
        <v>274</v>
      </c>
      <c r="E925" s="227">
        <v>43466</v>
      </c>
      <c r="F925" s="156">
        <v>883319.05</v>
      </c>
      <c r="G925" s="131">
        <f t="shared" si="94"/>
        <v>158290.77376000001</v>
      </c>
      <c r="H925" s="156">
        <v>41540.75</v>
      </c>
      <c r="I925" s="156">
        <v>86075.01</v>
      </c>
      <c r="J925" s="156">
        <v>0</v>
      </c>
      <c r="K925" s="131">
        <f t="shared" si="95"/>
        <v>127615.76</v>
      </c>
      <c r="L925" s="134">
        <v>0.1792</v>
      </c>
    </row>
    <row r="926" spans="3:12">
      <c r="C926" s="161">
        <f t="shared" si="93"/>
        <v>2019</v>
      </c>
      <c r="D926" s="35" t="s">
        <v>274</v>
      </c>
      <c r="E926" s="227">
        <v>43497</v>
      </c>
      <c r="F926" s="156">
        <v>836990.14</v>
      </c>
      <c r="G926" s="131">
        <f t="shared" si="94"/>
        <v>149988.633088</v>
      </c>
      <c r="H926" s="156">
        <v>6841.67</v>
      </c>
      <c r="I926" s="156">
        <v>1765.4</v>
      </c>
      <c r="J926" s="156">
        <v>2544</v>
      </c>
      <c r="K926" s="131">
        <f t="shared" si="95"/>
        <v>11151.07</v>
      </c>
      <c r="L926" s="134">
        <v>0.1792</v>
      </c>
    </row>
    <row r="927" spans="3:12">
      <c r="C927" s="161">
        <f t="shared" si="93"/>
        <v>2019</v>
      </c>
      <c r="D927" s="35" t="s">
        <v>274</v>
      </c>
      <c r="E927" s="227">
        <v>43525</v>
      </c>
      <c r="F927" s="156">
        <v>718459.53</v>
      </c>
      <c r="G927" s="131">
        <f t="shared" si="94"/>
        <v>128747.947776</v>
      </c>
      <c r="H927" s="156">
        <v>3563.57</v>
      </c>
      <c r="I927" s="156">
        <v>62152.95</v>
      </c>
      <c r="J927" s="156">
        <v>0</v>
      </c>
      <c r="K927" s="131">
        <f t="shared" si="95"/>
        <v>65716.52</v>
      </c>
      <c r="L927" s="134">
        <v>0.1792</v>
      </c>
    </row>
    <row r="928" spans="3:12">
      <c r="C928" s="161">
        <f t="shared" si="93"/>
        <v>2019</v>
      </c>
      <c r="D928" s="35" t="s">
        <v>274</v>
      </c>
      <c r="E928" s="227">
        <v>43556</v>
      </c>
      <c r="F928" s="156">
        <v>756287.04</v>
      </c>
      <c r="G928" s="131">
        <f t="shared" si="94"/>
        <v>135526.63756800001</v>
      </c>
      <c r="H928" s="156">
        <v>7416.23</v>
      </c>
      <c r="I928" s="156">
        <v>12491.76</v>
      </c>
      <c r="J928" s="156">
        <v>0</v>
      </c>
      <c r="K928" s="131">
        <f t="shared" si="95"/>
        <v>19907.989999999998</v>
      </c>
      <c r="L928" s="134">
        <v>0.1792</v>
      </c>
    </row>
    <row r="929" spans="3:12">
      <c r="C929" s="161">
        <f t="shared" si="93"/>
        <v>2019</v>
      </c>
      <c r="D929" s="35" t="s">
        <v>274</v>
      </c>
      <c r="E929" s="227">
        <v>43586</v>
      </c>
      <c r="F929" s="156">
        <v>711281.87</v>
      </c>
      <c r="G929" s="131">
        <f t="shared" si="94"/>
        <v>127461.711104</v>
      </c>
      <c r="H929" s="156">
        <v>85859.51</v>
      </c>
      <c r="I929" s="156">
        <v>121924.4</v>
      </c>
      <c r="J929" s="156">
        <v>0</v>
      </c>
      <c r="K929" s="131">
        <f t="shared" si="95"/>
        <v>207783.90999999997</v>
      </c>
      <c r="L929" s="134">
        <v>0.1792</v>
      </c>
    </row>
    <row r="930" spans="3:12">
      <c r="C930" s="161">
        <f t="shared" si="93"/>
        <v>2019</v>
      </c>
      <c r="D930" s="35" t="s">
        <v>274</v>
      </c>
      <c r="E930" s="227">
        <v>43617</v>
      </c>
      <c r="F930" s="156">
        <v>733245.59</v>
      </c>
      <c r="G930" s="131">
        <f t="shared" si="94"/>
        <v>131397.60972799998</v>
      </c>
      <c r="H930" s="156">
        <v>3829.85</v>
      </c>
      <c r="I930" s="156">
        <v>525375.02</v>
      </c>
      <c r="J930" s="156">
        <v>0</v>
      </c>
      <c r="K930" s="131">
        <f t="shared" si="95"/>
        <v>529204.87</v>
      </c>
      <c r="L930" s="134">
        <v>0.1792</v>
      </c>
    </row>
    <row r="931" spans="3:12">
      <c r="C931" s="161">
        <f t="shared" si="93"/>
        <v>2019</v>
      </c>
      <c r="D931" s="35" t="s">
        <v>274</v>
      </c>
      <c r="E931" s="227">
        <v>43647</v>
      </c>
      <c r="F931" s="156">
        <v>753425.8</v>
      </c>
      <c r="G931" s="131">
        <f t="shared" si="94"/>
        <v>135013.90336</v>
      </c>
      <c r="H931" s="156">
        <v>215668.47</v>
      </c>
      <c r="I931" s="156">
        <v>4963.16</v>
      </c>
      <c r="J931" s="156">
        <v>0</v>
      </c>
      <c r="K931" s="131">
        <f t="shared" si="95"/>
        <v>220631.63</v>
      </c>
      <c r="L931" s="134">
        <v>0.1792</v>
      </c>
    </row>
    <row r="932" spans="3:12">
      <c r="C932" s="161">
        <f t="shared" si="93"/>
        <v>2019</v>
      </c>
      <c r="D932" s="35" t="s">
        <v>274</v>
      </c>
      <c r="E932" s="227">
        <v>43678</v>
      </c>
      <c r="F932" s="156">
        <v>816977.42</v>
      </c>
      <c r="G932" s="131">
        <f t="shared" si="94"/>
        <v>146402.35366399999</v>
      </c>
      <c r="H932" s="156">
        <v>4345.78</v>
      </c>
      <c r="I932" s="156">
        <v>36188.839999999997</v>
      </c>
      <c r="J932" s="156">
        <v>0</v>
      </c>
      <c r="K932" s="131">
        <f t="shared" si="95"/>
        <v>40534.619999999995</v>
      </c>
      <c r="L932" s="134">
        <v>0.1792</v>
      </c>
    </row>
    <row r="933" spans="3:12">
      <c r="C933" s="161">
        <f t="shared" si="93"/>
        <v>2019</v>
      </c>
      <c r="D933" s="35" t="s">
        <v>274</v>
      </c>
      <c r="E933" s="227">
        <v>43709</v>
      </c>
      <c r="F933" s="156">
        <v>887881.64</v>
      </c>
      <c r="G933" s="131">
        <f t="shared" si="94"/>
        <v>159108.38988800001</v>
      </c>
      <c r="H933" s="156">
        <v>33802.230000000003</v>
      </c>
      <c r="I933" s="156">
        <v>13427.38</v>
      </c>
      <c r="J933" s="156">
        <v>0</v>
      </c>
      <c r="K933" s="131">
        <f t="shared" si="95"/>
        <v>47229.61</v>
      </c>
      <c r="L933" s="134">
        <v>0.1792</v>
      </c>
    </row>
    <row r="934" spans="3:12">
      <c r="C934" s="161">
        <f t="shared" si="93"/>
        <v>2019</v>
      </c>
      <c r="D934" s="35" t="s">
        <v>274</v>
      </c>
      <c r="E934" s="227">
        <v>43739</v>
      </c>
      <c r="F934" s="156">
        <v>879334.13</v>
      </c>
      <c r="G934" s="131">
        <f t="shared" si="94"/>
        <v>157576.67609600001</v>
      </c>
      <c r="H934" s="156">
        <v>7474.25</v>
      </c>
      <c r="I934" s="156">
        <v>163855.59</v>
      </c>
      <c r="J934" s="156">
        <v>0</v>
      </c>
      <c r="K934" s="131">
        <f t="shared" si="95"/>
        <v>171329.84</v>
      </c>
      <c r="L934" s="134">
        <v>0.1792</v>
      </c>
    </row>
    <row r="935" spans="3:12">
      <c r="C935" s="161">
        <f t="shared" si="93"/>
        <v>2019</v>
      </c>
      <c r="D935" s="35" t="s">
        <v>274</v>
      </c>
      <c r="E935" s="227">
        <v>43770</v>
      </c>
      <c r="F935" s="156">
        <v>942123.24</v>
      </c>
      <c r="G935" s="131">
        <f t="shared" si="94"/>
        <v>168828.484608</v>
      </c>
      <c r="H935" s="156">
        <v>16557.669999999998</v>
      </c>
      <c r="I935" s="156">
        <v>21655.57</v>
      </c>
      <c r="J935" s="156">
        <v>0</v>
      </c>
      <c r="K935" s="131">
        <f t="shared" si="95"/>
        <v>38213.24</v>
      </c>
      <c r="L935" s="134">
        <v>0.1792</v>
      </c>
    </row>
    <row r="936" spans="3:12">
      <c r="C936" s="161">
        <f t="shared" si="93"/>
        <v>2019</v>
      </c>
      <c r="D936" s="35" t="s">
        <v>274</v>
      </c>
      <c r="E936" s="227">
        <v>43800</v>
      </c>
      <c r="F936" s="156">
        <v>889081.04</v>
      </c>
      <c r="G936" s="131">
        <f t="shared" si="94"/>
        <v>159323.32236799999</v>
      </c>
      <c r="H936" s="156">
        <v>5484.73</v>
      </c>
      <c r="I936" s="156">
        <v>3064.6</v>
      </c>
      <c r="J936" s="156">
        <v>0</v>
      </c>
      <c r="K936" s="131">
        <f t="shared" si="95"/>
        <v>8549.33</v>
      </c>
      <c r="L936" s="134">
        <v>0.1792</v>
      </c>
    </row>
    <row r="937" spans="3:12">
      <c r="C937" s="161">
        <f t="shared" si="93"/>
        <v>2020</v>
      </c>
      <c r="D937" s="35" t="s">
        <v>274</v>
      </c>
      <c r="E937" s="227">
        <v>43831</v>
      </c>
      <c r="F937" s="156">
        <v>965183.01</v>
      </c>
      <c r="G937" s="131">
        <f t="shared" si="94"/>
        <v>172960.795392</v>
      </c>
      <c r="H937" s="156">
        <v>1664.33</v>
      </c>
      <c r="I937" s="156">
        <v>35944.93</v>
      </c>
      <c r="J937" s="156">
        <v>0</v>
      </c>
      <c r="K937" s="131">
        <f t="shared" si="95"/>
        <v>37609.26</v>
      </c>
      <c r="L937" s="134">
        <v>0.1792</v>
      </c>
    </row>
    <row r="938" spans="3:12">
      <c r="C938" s="161">
        <f t="shared" si="93"/>
        <v>2020</v>
      </c>
      <c r="D938" s="35" t="s">
        <v>274</v>
      </c>
      <c r="E938" s="227">
        <v>43862</v>
      </c>
      <c r="F938" s="156">
        <v>861982.75</v>
      </c>
      <c r="G938" s="131">
        <f t="shared" si="94"/>
        <v>154467.3088</v>
      </c>
      <c r="H938" s="156">
        <v>1427.54</v>
      </c>
      <c r="I938" s="156">
        <v>12811.9</v>
      </c>
      <c r="J938" s="156">
        <v>0</v>
      </c>
      <c r="K938" s="131">
        <f t="shared" si="95"/>
        <v>14239.439999999999</v>
      </c>
      <c r="L938" s="134">
        <v>0.1792</v>
      </c>
    </row>
    <row r="939" spans="3:12">
      <c r="C939" s="161">
        <f t="shared" si="93"/>
        <v>2020</v>
      </c>
      <c r="D939" s="35" t="s">
        <v>274</v>
      </c>
      <c r="E939" s="227">
        <v>43891</v>
      </c>
      <c r="F939" s="156">
        <v>863827.56982500001</v>
      </c>
      <c r="G939" s="131">
        <f t="shared" si="94"/>
        <v>154797.90051264002</v>
      </c>
      <c r="H939" s="156">
        <v>6903.58</v>
      </c>
      <c r="I939" s="156">
        <v>7611.57</v>
      </c>
      <c r="J939" s="156">
        <v>0</v>
      </c>
      <c r="K939" s="131">
        <f t="shared" si="95"/>
        <v>14515.15</v>
      </c>
      <c r="L939" s="134">
        <v>0.1792</v>
      </c>
    </row>
    <row r="940" spans="3:12">
      <c r="C940" s="161">
        <f t="shared" si="93"/>
        <v>2020</v>
      </c>
      <c r="D940" s="35" t="s">
        <v>274</v>
      </c>
      <c r="E940" s="227">
        <v>43922</v>
      </c>
      <c r="F940" s="156">
        <v>822529.48635000002</v>
      </c>
      <c r="G940" s="131">
        <f t="shared" si="94"/>
        <v>147397.28395392001</v>
      </c>
      <c r="H940" s="156">
        <v>22134.639999999999</v>
      </c>
      <c r="I940" s="156">
        <v>7219.55</v>
      </c>
      <c r="J940" s="156">
        <v>0</v>
      </c>
      <c r="K940" s="131">
        <f t="shared" si="95"/>
        <v>29354.19</v>
      </c>
      <c r="L940" s="134">
        <v>0.1792</v>
      </c>
    </row>
    <row r="941" spans="3:12">
      <c r="C941" s="161">
        <f t="shared" si="93"/>
        <v>2020</v>
      </c>
      <c r="D941" s="35" t="s">
        <v>274</v>
      </c>
      <c r="E941" s="227">
        <v>43952</v>
      </c>
      <c r="F941" s="156">
        <v>729771.11</v>
      </c>
      <c r="G941" s="131">
        <f t="shared" si="94"/>
        <v>130774.98291199999</v>
      </c>
      <c r="H941" s="156">
        <v>39846.519999999997</v>
      </c>
      <c r="I941" s="156">
        <v>6471.41</v>
      </c>
      <c r="J941" s="156">
        <v>0</v>
      </c>
      <c r="K941" s="131">
        <f t="shared" si="95"/>
        <v>46317.929999999993</v>
      </c>
      <c r="L941" s="134">
        <v>0.1792</v>
      </c>
    </row>
    <row r="942" spans="3:12">
      <c r="C942" s="161">
        <f t="shared" si="93"/>
        <v>2020</v>
      </c>
      <c r="D942" s="35" t="s">
        <v>274</v>
      </c>
      <c r="E942" s="227">
        <v>43983</v>
      </c>
      <c r="F942" s="156">
        <v>711291.05</v>
      </c>
      <c r="G942" s="131">
        <f t="shared" si="94"/>
        <v>127463.35616000001</v>
      </c>
      <c r="H942" s="156">
        <v>43339.02</v>
      </c>
      <c r="I942" s="156">
        <v>4675.87</v>
      </c>
      <c r="J942" s="156">
        <v>0</v>
      </c>
      <c r="K942" s="131">
        <f t="shared" si="95"/>
        <v>48014.89</v>
      </c>
      <c r="L942" s="134">
        <v>0.1792</v>
      </c>
    </row>
    <row r="943" spans="3:12">
      <c r="C943" s="161">
        <f t="shared" si="93"/>
        <v>2020</v>
      </c>
      <c r="D943" s="35" t="s">
        <v>274</v>
      </c>
      <c r="E943" s="227">
        <v>44013</v>
      </c>
      <c r="F943" s="156">
        <v>733340.69</v>
      </c>
      <c r="G943" s="131">
        <f t="shared" si="94"/>
        <v>131414.651648</v>
      </c>
      <c r="H943" s="156">
        <v>77940.460000000006</v>
      </c>
      <c r="I943" s="156">
        <v>8384.4699999999993</v>
      </c>
      <c r="J943" s="156">
        <v>663.7</v>
      </c>
      <c r="K943" s="131">
        <f t="shared" si="95"/>
        <v>86988.63</v>
      </c>
      <c r="L943" s="134">
        <v>0.1792</v>
      </c>
    </row>
    <row r="944" spans="3:12">
      <c r="C944" s="161">
        <f t="shared" si="93"/>
        <v>2020</v>
      </c>
      <c r="D944" s="35" t="s">
        <v>274</v>
      </c>
      <c r="E944" s="227">
        <v>44044</v>
      </c>
      <c r="F944" s="156">
        <v>792766.24</v>
      </c>
      <c r="G944" s="131">
        <f t="shared" si="94"/>
        <v>142063.710208</v>
      </c>
      <c r="H944" s="156">
        <v>54509.22</v>
      </c>
      <c r="I944" s="156">
        <v>3473.75</v>
      </c>
      <c r="J944" s="156">
        <v>0</v>
      </c>
      <c r="K944" s="131">
        <f t="shared" si="95"/>
        <v>57982.97</v>
      </c>
      <c r="L944" s="134">
        <v>0.1792</v>
      </c>
    </row>
    <row r="945" spans="3:12">
      <c r="C945" s="161">
        <f t="shared" si="93"/>
        <v>2020</v>
      </c>
      <c r="D945" s="35" t="s">
        <v>274</v>
      </c>
      <c r="E945" s="227">
        <v>44075</v>
      </c>
      <c r="F945" s="156">
        <v>889270.04</v>
      </c>
      <c r="G945" s="131">
        <f t="shared" si="94"/>
        <v>159357.19116800002</v>
      </c>
      <c r="H945" s="156">
        <v>43088.12</v>
      </c>
      <c r="I945" s="156">
        <v>4019.13</v>
      </c>
      <c r="J945" s="156">
        <v>0</v>
      </c>
      <c r="K945" s="131">
        <f t="shared" si="95"/>
        <v>47107.25</v>
      </c>
      <c r="L945" s="134">
        <v>0.1792</v>
      </c>
    </row>
    <row r="946" spans="3:12">
      <c r="C946" s="161">
        <f t="shared" si="93"/>
        <v>2020</v>
      </c>
      <c r="D946" s="35" t="s">
        <v>274</v>
      </c>
      <c r="E946" s="227">
        <v>44105</v>
      </c>
      <c r="F946" s="156">
        <v>897506.38</v>
      </c>
      <c r="G946" s="131">
        <f t="shared" si="94"/>
        <v>160833.14329599999</v>
      </c>
      <c r="H946" s="156">
        <v>101597.46</v>
      </c>
      <c r="I946" s="156">
        <v>6416.39</v>
      </c>
      <c r="J946" s="156">
        <v>0</v>
      </c>
      <c r="K946" s="131">
        <f t="shared" si="95"/>
        <v>108013.85</v>
      </c>
      <c r="L946" s="134">
        <v>0.1792</v>
      </c>
    </row>
    <row r="947" spans="3:12">
      <c r="C947" s="161">
        <f t="shared" si="93"/>
        <v>2020</v>
      </c>
      <c r="D947" s="35" t="s">
        <v>274</v>
      </c>
      <c r="E947" s="227">
        <v>44136</v>
      </c>
      <c r="F947" s="156">
        <v>863151.98</v>
      </c>
      <c r="G947" s="131">
        <f t="shared" si="94"/>
        <v>154676.83481599999</v>
      </c>
      <c r="H947" s="156">
        <v>25376.21</v>
      </c>
      <c r="I947" s="156">
        <v>65936.759999999995</v>
      </c>
      <c r="J947" s="156">
        <v>9636</v>
      </c>
      <c r="K947" s="131">
        <f t="shared" si="95"/>
        <v>100948.97</v>
      </c>
      <c r="L947" s="134">
        <v>0.1792</v>
      </c>
    </row>
    <row r="948" spans="3:12">
      <c r="C948" s="161">
        <f t="shared" si="93"/>
        <v>2020</v>
      </c>
      <c r="D948" s="35" t="s">
        <v>274</v>
      </c>
      <c r="E948" s="227">
        <v>44166</v>
      </c>
      <c r="F948" s="156">
        <v>890189.2</v>
      </c>
      <c r="G948" s="131">
        <f t="shared" si="94"/>
        <v>159521.90463999999</v>
      </c>
      <c r="H948" s="156">
        <v>269608.03000000003</v>
      </c>
      <c r="I948" s="156">
        <v>21904.2</v>
      </c>
      <c r="J948" s="156">
        <v>52795.34</v>
      </c>
      <c r="K948" s="131">
        <f t="shared" si="95"/>
        <v>344307.57000000007</v>
      </c>
      <c r="L948" s="134">
        <v>0.1792</v>
      </c>
    </row>
    <row r="949" spans="3:12">
      <c r="C949" s="161">
        <f t="shared" si="93"/>
        <v>2021</v>
      </c>
      <c r="D949" s="35" t="s">
        <v>274</v>
      </c>
      <c r="E949" s="227">
        <v>44197</v>
      </c>
      <c r="F949" s="156">
        <v>997933.62</v>
      </c>
      <c r="G949" s="131">
        <f t="shared" si="94"/>
        <v>178829.704704</v>
      </c>
      <c r="H949" s="156">
        <v>139534.70000000001</v>
      </c>
      <c r="I949" s="156">
        <v>9101.2099999999991</v>
      </c>
      <c r="J949" s="156">
        <v>0</v>
      </c>
      <c r="K949" s="131">
        <f t="shared" si="95"/>
        <v>148635.91</v>
      </c>
      <c r="L949" s="134">
        <v>0.1792</v>
      </c>
    </row>
    <row r="950" spans="3:12">
      <c r="C950" s="161">
        <f t="shared" si="93"/>
        <v>2021</v>
      </c>
      <c r="D950" s="35" t="s">
        <v>274</v>
      </c>
      <c r="E950" s="227">
        <v>44229</v>
      </c>
      <c r="F950" s="156">
        <v>896250.02</v>
      </c>
      <c r="G950" s="131">
        <f t="shared" si="94"/>
        <v>160608.00358399999</v>
      </c>
      <c r="H950" s="156">
        <v>6902.62</v>
      </c>
      <c r="I950" s="156">
        <v>12695.02</v>
      </c>
      <c r="J950" s="156">
        <v>0</v>
      </c>
      <c r="K950" s="131">
        <f t="shared" si="95"/>
        <v>19597.64</v>
      </c>
      <c r="L950" s="134">
        <v>0.1792</v>
      </c>
    </row>
    <row r="951" spans="3:12">
      <c r="C951" s="161">
        <f t="shared" si="93"/>
        <v>2021</v>
      </c>
      <c r="D951" s="35" t="s">
        <v>274</v>
      </c>
      <c r="E951" s="227">
        <v>44258</v>
      </c>
      <c r="F951" s="156">
        <v>801621.05</v>
      </c>
      <c r="G951" s="131">
        <f t="shared" si="94"/>
        <v>143650.49215999999</v>
      </c>
      <c r="H951" s="156">
        <v>8632.85</v>
      </c>
      <c r="I951" s="156">
        <v>8399.23</v>
      </c>
      <c r="J951" s="156">
        <v>0</v>
      </c>
      <c r="K951" s="131">
        <f t="shared" si="95"/>
        <v>17032.080000000002</v>
      </c>
      <c r="L951" s="134">
        <v>0.1792</v>
      </c>
    </row>
    <row r="952" spans="3:12">
      <c r="C952" s="161">
        <f t="shared" si="93"/>
        <v>2021</v>
      </c>
      <c r="D952" s="35" t="s">
        <v>274</v>
      </c>
      <c r="E952" s="227">
        <v>44290</v>
      </c>
      <c r="F952" s="156">
        <v>912215.09</v>
      </c>
      <c r="G952" s="131">
        <f t="shared" si="94"/>
        <v>163468.944128</v>
      </c>
      <c r="H952" s="156">
        <v>6880.38</v>
      </c>
      <c r="I952" s="156">
        <v>7817.05</v>
      </c>
      <c r="J952" s="156">
        <v>0</v>
      </c>
      <c r="K952" s="131">
        <f t="shared" si="95"/>
        <v>14697.43</v>
      </c>
      <c r="L952" s="134">
        <v>0.1792</v>
      </c>
    </row>
    <row r="953" spans="3:12">
      <c r="C953" s="161">
        <f t="shared" si="93"/>
        <v>2021</v>
      </c>
      <c r="D953" s="35" t="s">
        <v>274</v>
      </c>
      <c r="E953" s="227">
        <v>44321</v>
      </c>
      <c r="F953" s="156">
        <v>818602.27</v>
      </c>
      <c r="G953" s="131">
        <f t="shared" si="94"/>
        <v>146693.52678400002</v>
      </c>
      <c r="H953" s="156">
        <v>6983.19</v>
      </c>
      <c r="I953" s="156">
        <v>550.79999999999995</v>
      </c>
      <c r="J953" s="156">
        <v>0</v>
      </c>
      <c r="K953" s="131">
        <f t="shared" si="95"/>
        <v>7533.99</v>
      </c>
      <c r="L953" s="134">
        <v>0.1792</v>
      </c>
    </row>
    <row r="954" spans="3:12">
      <c r="C954" s="161">
        <f t="shared" si="93"/>
        <v>2021</v>
      </c>
      <c r="D954" s="35" t="s">
        <v>274</v>
      </c>
      <c r="E954" s="227">
        <v>44353</v>
      </c>
      <c r="F954" s="156">
        <v>831899.83</v>
      </c>
      <c r="G954" s="131">
        <f t="shared" si="94"/>
        <v>149076.449536</v>
      </c>
      <c r="H954" s="156">
        <v>12748.44</v>
      </c>
      <c r="I954" s="156">
        <v>1874.36</v>
      </c>
      <c r="J954" s="156">
        <v>0</v>
      </c>
      <c r="K954" s="131">
        <f t="shared" si="95"/>
        <v>14622.800000000001</v>
      </c>
      <c r="L954" s="134">
        <v>0.1792</v>
      </c>
    </row>
    <row r="955" spans="3:12">
      <c r="C955" s="161">
        <f t="shared" si="93"/>
        <v>2015</v>
      </c>
      <c r="D955" s="35" t="s">
        <v>275</v>
      </c>
      <c r="E955" s="227">
        <v>42309</v>
      </c>
      <c r="F955" s="156">
        <v>159318.67000000001</v>
      </c>
      <c r="G955" s="131">
        <f t="shared" si="94"/>
        <v>28549.905664000002</v>
      </c>
      <c r="H955" s="156">
        <v>934.83</v>
      </c>
      <c r="I955" s="156">
        <v>0</v>
      </c>
      <c r="J955" s="156">
        <v>0</v>
      </c>
      <c r="K955" s="131">
        <f t="shared" si="95"/>
        <v>934.83</v>
      </c>
      <c r="L955" s="134">
        <v>0.1792</v>
      </c>
    </row>
    <row r="956" spans="3:12">
      <c r="C956" s="161">
        <f t="shared" si="93"/>
        <v>2015</v>
      </c>
      <c r="D956" s="35" t="s">
        <v>275</v>
      </c>
      <c r="E956" s="227">
        <v>42339</v>
      </c>
      <c r="F956" s="156">
        <v>147298.26999999999</v>
      </c>
      <c r="G956" s="131">
        <f t="shared" si="94"/>
        <v>26395.849983999997</v>
      </c>
      <c r="H956" s="156">
        <v>1243.9100000000001</v>
      </c>
      <c r="I956" s="156">
        <v>0</v>
      </c>
      <c r="J956" s="156">
        <v>0</v>
      </c>
      <c r="K956" s="131">
        <f t="shared" si="95"/>
        <v>1243.9100000000001</v>
      </c>
      <c r="L956" s="134">
        <v>0.1792</v>
      </c>
    </row>
    <row r="957" spans="3:12">
      <c r="C957" s="161">
        <f t="shared" si="93"/>
        <v>2016</v>
      </c>
      <c r="D957" s="35" t="s">
        <v>275</v>
      </c>
      <c r="E957" s="227">
        <v>42370</v>
      </c>
      <c r="F957" s="156">
        <v>158790.57</v>
      </c>
      <c r="G957" s="131">
        <f t="shared" si="94"/>
        <v>28455.270144000002</v>
      </c>
      <c r="H957" s="156">
        <v>14366.67</v>
      </c>
      <c r="I957" s="156">
        <v>1771.86</v>
      </c>
      <c r="J957" s="156">
        <v>2130.19</v>
      </c>
      <c r="K957" s="131">
        <f t="shared" si="95"/>
        <v>18268.72</v>
      </c>
      <c r="L957" s="134">
        <v>0.1792</v>
      </c>
    </row>
    <row r="958" spans="3:12">
      <c r="C958" s="161">
        <f t="shared" si="93"/>
        <v>2016</v>
      </c>
      <c r="D958" s="35" t="s">
        <v>275</v>
      </c>
      <c r="E958" s="227">
        <v>42401</v>
      </c>
      <c r="F958" s="156">
        <v>162228.89000000001</v>
      </c>
      <c r="G958" s="131">
        <f t="shared" si="94"/>
        <v>29071.417088000002</v>
      </c>
      <c r="H958" s="156">
        <v>4715.57</v>
      </c>
      <c r="I958" s="156">
        <v>0</v>
      </c>
      <c r="J958" s="156">
        <v>0</v>
      </c>
      <c r="K958" s="131">
        <f t="shared" si="95"/>
        <v>4715.57</v>
      </c>
      <c r="L958" s="134">
        <v>0.1792</v>
      </c>
    </row>
    <row r="959" spans="3:12">
      <c r="C959" s="161">
        <f t="shared" si="93"/>
        <v>2016</v>
      </c>
      <c r="D959" s="35" t="s">
        <v>275</v>
      </c>
      <c r="E959" s="227">
        <v>42430</v>
      </c>
      <c r="F959" s="156">
        <v>151333.73000000001</v>
      </c>
      <c r="G959" s="131">
        <f t="shared" si="94"/>
        <v>27119.004416000003</v>
      </c>
      <c r="H959" s="156">
        <v>9257.7099999999991</v>
      </c>
      <c r="I959" s="156">
        <v>0</v>
      </c>
      <c r="J959" s="156">
        <v>0</v>
      </c>
      <c r="K959" s="131">
        <f t="shared" si="95"/>
        <v>9257.7099999999991</v>
      </c>
      <c r="L959" s="134">
        <v>0.1792</v>
      </c>
    </row>
    <row r="960" spans="3:12">
      <c r="C960" s="161">
        <f t="shared" si="93"/>
        <v>2016</v>
      </c>
      <c r="D960" s="35" t="s">
        <v>275</v>
      </c>
      <c r="E960" s="227">
        <v>42461</v>
      </c>
      <c r="F960" s="156">
        <v>172604</v>
      </c>
      <c r="G960" s="131">
        <f t="shared" si="94"/>
        <v>30930.6368</v>
      </c>
      <c r="H960" s="156">
        <v>0</v>
      </c>
      <c r="I960" s="156">
        <v>0</v>
      </c>
      <c r="J960" s="156">
        <v>0</v>
      </c>
      <c r="K960" s="131">
        <f t="shared" si="95"/>
        <v>0</v>
      </c>
      <c r="L960" s="134">
        <v>0.1792</v>
      </c>
    </row>
    <row r="961" spans="3:12">
      <c r="C961" s="161">
        <f t="shared" si="93"/>
        <v>2016</v>
      </c>
      <c r="D961" s="35" t="s">
        <v>275</v>
      </c>
      <c r="E961" s="227">
        <v>42491</v>
      </c>
      <c r="F961" s="156">
        <v>148778.62</v>
      </c>
      <c r="G961" s="131">
        <f t="shared" si="94"/>
        <v>26661.128703999999</v>
      </c>
      <c r="H961" s="156">
        <v>535.16</v>
      </c>
      <c r="I961" s="156">
        <v>0</v>
      </c>
      <c r="J961" s="156">
        <v>0</v>
      </c>
      <c r="K961" s="131">
        <f t="shared" si="95"/>
        <v>535.16</v>
      </c>
      <c r="L961" s="134">
        <v>0.1792</v>
      </c>
    </row>
    <row r="962" spans="3:12">
      <c r="C962" s="161">
        <f t="shared" si="93"/>
        <v>2016</v>
      </c>
      <c r="D962" s="35" t="s">
        <v>275</v>
      </c>
      <c r="E962" s="227">
        <v>42522</v>
      </c>
      <c r="F962" s="156">
        <v>134551.57999999999</v>
      </c>
      <c r="G962" s="131">
        <f t="shared" si="94"/>
        <v>24111.643135999999</v>
      </c>
      <c r="H962" s="156">
        <v>827.38</v>
      </c>
      <c r="I962" s="156">
        <v>0</v>
      </c>
      <c r="J962" s="156">
        <v>0</v>
      </c>
      <c r="K962" s="131">
        <f t="shared" si="95"/>
        <v>827.38</v>
      </c>
      <c r="L962" s="134">
        <v>0.1792</v>
      </c>
    </row>
    <row r="963" spans="3:12">
      <c r="C963" s="161">
        <f t="shared" si="93"/>
        <v>2016</v>
      </c>
      <c r="D963" s="35" t="s">
        <v>275</v>
      </c>
      <c r="E963" s="227">
        <v>42552</v>
      </c>
      <c r="F963" s="156">
        <v>160130.73000000001</v>
      </c>
      <c r="G963" s="131">
        <f t="shared" si="94"/>
        <v>28695.426816000003</v>
      </c>
      <c r="H963" s="156">
        <v>346.03</v>
      </c>
      <c r="I963" s="156">
        <v>0</v>
      </c>
      <c r="J963" s="156">
        <v>0</v>
      </c>
      <c r="K963" s="131">
        <f t="shared" si="95"/>
        <v>346.03</v>
      </c>
      <c r="L963" s="134">
        <v>0.1792</v>
      </c>
    </row>
    <row r="964" spans="3:12">
      <c r="C964" s="161">
        <f t="shared" ref="C964:C1027" si="96">YEAR(E964)</f>
        <v>2016</v>
      </c>
      <c r="D964" s="35" t="s">
        <v>275</v>
      </c>
      <c r="E964" s="227">
        <v>42583</v>
      </c>
      <c r="F964" s="156">
        <v>166632.74</v>
      </c>
      <c r="G964" s="131">
        <f t="shared" ref="G964:G1027" si="97">F964*L964</f>
        <v>29860.587007999999</v>
      </c>
      <c r="H964" s="156">
        <v>322.97000000000003</v>
      </c>
      <c r="I964" s="156">
        <v>62318.16</v>
      </c>
      <c r="J964" s="156">
        <v>3980</v>
      </c>
      <c r="K964" s="131">
        <f t="shared" ref="K964:K1027" si="98">SUM(H964:J964)</f>
        <v>66621.13</v>
      </c>
      <c r="L964" s="134">
        <v>0.1792</v>
      </c>
    </row>
    <row r="965" spans="3:12">
      <c r="C965" s="161">
        <f t="shared" si="96"/>
        <v>2016</v>
      </c>
      <c r="D965" s="35" t="s">
        <v>275</v>
      </c>
      <c r="E965" s="227">
        <v>42614</v>
      </c>
      <c r="F965" s="156">
        <v>163674.43</v>
      </c>
      <c r="G965" s="131">
        <f t="shared" si="97"/>
        <v>29330.457855999997</v>
      </c>
      <c r="H965" s="156">
        <v>765.86</v>
      </c>
      <c r="I965" s="156">
        <v>43828.81</v>
      </c>
      <c r="J965" s="156">
        <v>0</v>
      </c>
      <c r="K965" s="131">
        <f t="shared" si="98"/>
        <v>44594.67</v>
      </c>
      <c r="L965" s="134">
        <v>0.1792</v>
      </c>
    </row>
    <row r="966" spans="3:12">
      <c r="C966" s="161">
        <f t="shared" si="96"/>
        <v>2016</v>
      </c>
      <c r="D966" s="35" t="s">
        <v>275</v>
      </c>
      <c r="E966" s="227">
        <v>42644</v>
      </c>
      <c r="F966" s="156">
        <v>184828.3</v>
      </c>
      <c r="G966" s="131">
        <f t="shared" si="97"/>
        <v>33121.231359999998</v>
      </c>
      <c r="H966" s="156">
        <v>137.49</v>
      </c>
      <c r="I966" s="156">
        <v>35665.03</v>
      </c>
      <c r="J966" s="156">
        <v>0</v>
      </c>
      <c r="K966" s="131">
        <f t="shared" si="98"/>
        <v>35802.519999999997</v>
      </c>
      <c r="L966" s="134">
        <v>0.1792</v>
      </c>
    </row>
    <row r="967" spans="3:12">
      <c r="C967" s="161">
        <f t="shared" si="96"/>
        <v>2016</v>
      </c>
      <c r="D967" s="35" t="s">
        <v>275</v>
      </c>
      <c r="E967" s="227">
        <v>42675</v>
      </c>
      <c r="F967" s="156">
        <v>243318.14</v>
      </c>
      <c r="G967" s="131">
        <f t="shared" si="97"/>
        <v>43602.610688000001</v>
      </c>
      <c r="H967" s="156">
        <v>446.49</v>
      </c>
      <c r="I967" s="156">
        <v>30955.72</v>
      </c>
      <c r="J967" s="156">
        <v>0</v>
      </c>
      <c r="K967" s="131">
        <f t="shared" si="98"/>
        <v>31402.210000000003</v>
      </c>
      <c r="L967" s="134">
        <v>0.1792</v>
      </c>
    </row>
    <row r="968" spans="3:12">
      <c r="C968" s="161">
        <f t="shared" si="96"/>
        <v>2016</v>
      </c>
      <c r="D968" s="35" t="s">
        <v>275</v>
      </c>
      <c r="E968" s="227">
        <v>42705</v>
      </c>
      <c r="F968" s="156">
        <v>245384.89</v>
      </c>
      <c r="G968" s="131">
        <f t="shared" si="97"/>
        <v>43972.972288000004</v>
      </c>
      <c r="H968" s="156">
        <v>1552.96</v>
      </c>
      <c r="I968" s="156">
        <v>0</v>
      </c>
      <c r="J968" s="156">
        <v>0</v>
      </c>
      <c r="K968" s="131">
        <f t="shared" si="98"/>
        <v>1552.96</v>
      </c>
      <c r="L968" s="134">
        <v>0.1792</v>
      </c>
    </row>
    <row r="969" spans="3:12">
      <c r="C969" s="161">
        <f t="shared" si="96"/>
        <v>2017</v>
      </c>
      <c r="D969" s="35" t="s">
        <v>275</v>
      </c>
      <c r="E969" s="227">
        <v>42736</v>
      </c>
      <c r="F969" s="156">
        <v>242630.91</v>
      </c>
      <c r="G969" s="131">
        <f t="shared" si="97"/>
        <v>43479.459071999998</v>
      </c>
      <c r="H969" s="156">
        <v>955.7</v>
      </c>
      <c r="I969" s="156">
        <v>2972.81</v>
      </c>
      <c r="J969" s="156">
        <v>266</v>
      </c>
      <c r="K969" s="131">
        <f t="shared" si="98"/>
        <v>4194.51</v>
      </c>
      <c r="L969" s="134">
        <v>0.1792</v>
      </c>
    </row>
    <row r="970" spans="3:12">
      <c r="C970" s="161">
        <f t="shared" si="96"/>
        <v>2017</v>
      </c>
      <c r="D970" s="35" t="s">
        <v>275</v>
      </c>
      <c r="E970" s="227">
        <v>42767</v>
      </c>
      <c r="F970" s="156">
        <v>230107.62</v>
      </c>
      <c r="G970" s="131">
        <f t="shared" si="97"/>
        <v>41235.285503999999</v>
      </c>
      <c r="H970" s="156">
        <v>6202.26</v>
      </c>
      <c r="I970" s="156">
        <v>15418.2</v>
      </c>
      <c r="J970" s="156">
        <v>794.2</v>
      </c>
      <c r="K970" s="131">
        <f t="shared" si="98"/>
        <v>22414.66</v>
      </c>
      <c r="L970" s="134">
        <v>0.1792</v>
      </c>
    </row>
    <row r="971" spans="3:12">
      <c r="C971" s="161">
        <f t="shared" si="96"/>
        <v>2017</v>
      </c>
      <c r="D971" s="35" t="s">
        <v>275</v>
      </c>
      <c r="E971" s="227">
        <v>42795</v>
      </c>
      <c r="F971" s="156">
        <v>214473.04</v>
      </c>
      <c r="G971" s="131">
        <f t="shared" si="97"/>
        <v>38433.568768000005</v>
      </c>
      <c r="H971" s="156">
        <v>1571.22</v>
      </c>
      <c r="I971" s="156">
        <v>211704.82</v>
      </c>
      <c r="J971" s="156">
        <v>0</v>
      </c>
      <c r="K971" s="131">
        <f t="shared" si="98"/>
        <v>213276.04</v>
      </c>
      <c r="L971" s="134">
        <v>0.1792</v>
      </c>
    </row>
    <row r="972" spans="3:12">
      <c r="C972" s="161">
        <f t="shared" si="96"/>
        <v>2017</v>
      </c>
      <c r="D972" s="35" t="s">
        <v>275</v>
      </c>
      <c r="E972" s="227">
        <v>42826</v>
      </c>
      <c r="F972" s="156">
        <v>215822.92</v>
      </c>
      <c r="G972" s="131">
        <f t="shared" si="97"/>
        <v>38675.467263999999</v>
      </c>
      <c r="H972" s="156">
        <v>390.91</v>
      </c>
      <c r="I972" s="156">
        <v>5778.11</v>
      </c>
      <c r="J972" s="156">
        <v>0</v>
      </c>
      <c r="K972" s="131">
        <f t="shared" si="98"/>
        <v>6169.0199999999995</v>
      </c>
      <c r="L972" s="134">
        <v>0.1792</v>
      </c>
    </row>
    <row r="973" spans="3:12">
      <c r="C973" s="161">
        <f t="shared" si="96"/>
        <v>2017</v>
      </c>
      <c r="D973" s="35" t="s">
        <v>275</v>
      </c>
      <c r="E973" s="227">
        <v>42856</v>
      </c>
      <c r="F973" s="156">
        <v>209560.89</v>
      </c>
      <c r="G973" s="131">
        <f t="shared" si="97"/>
        <v>37553.311487999999</v>
      </c>
      <c r="H973" s="156">
        <v>674.23</v>
      </c>
      <c r="I973" s="156">
        <v>187373.63</v>
      </c>
      <c r="J973" s="156">
        <v>0</v>
      </c>
      <c r="K973" s="131">
        <f t="shared" si="98"/>
        <v>188047.86000000002</v>
      </c>
      <c r="L973" s="134">
        <v>0.1792</v>
      </c>
    </row>
    <row r="974" spans="3:12">
      <c r="C974" s="161">
        <f t="shared" si="96"/>
        <v>2017</v>
      </c>
      <c r="D974" s="35" t="s">
        <v>275</v>
      </c>
      <c r="E974" s="227">
        <v>42887</v>
      </c>
      <c r="F974" s="156">
        <v>215802.65</v>
      </c>
      <c r="G974" s="131">
        <f t="shared" si="97"/>
        <v>38671.834880000002</v>
      </c>
      <c r="H974" s="156">
        <v>1428.48</v>
      </c>
      <c r="I974" s="156">
        <v>8786.2000000000007</v>
      </c>
      <c r="J974" s="156">
        <v>0</v>
      </c>
      <c r="K974" s="131">
        <f t="shared" si="98"/>
        <v>10214.68</v>
      </c>
      <c r="L974" s="134">
        <v>0.1792</v>
      </c>
    </row>
    <row r="975" spans="3:12">
      <c r="C975" s="161">
        <f t="shared" si="96"/>
        <v>2017</v>
      </c>
      <c r="D975" s="35" t="s">
        <v>275</v>
      </c>
      <c r="E975" s="227">
        <v>42917</v>
      </c>
      <c r="F975" s="156">
        <v>216715.17</v>
      </c>
      <c r="G975" s="131">
        <f t="shared" si="97"/>
        <v>38835.358464000004</v>
      </c>
      <c r="H975" s="156">
        <v>1430.93</v>
      </c>
      <c r="I975" s="156">
        <v>6378.25</v>
      </c>
      <c r="J975" s="156">
        <v>287.01</v>
      </c>
      <c r="K975" s="131">
        <f t="shared" si="98"/>
        <v>8096.1900000000005</v>
      </c>
      <c r="L975" s="134">
        <v>0.1792</v>
      </c>
    </row>
    <row r="976" spans="3:12">
      <c r="C976" s="161">
        <f t="shared" si="96"/>
        <v>2017</v>
      </c>
      <c r="D976" s="35" t="s">
        <v>275</v>
      </c>
      <c r="E976" s="227">
        <v>42948</v>
      </c>
      <c r="F976" s="156">
        <v>240536.44</v>
      </c>
      <c r="G976" s="131">
        <f t="shared" si="97"/>
        <v>43104.130047999999</v>
      </c>
      <c r="H976" s="156">
        <v>14267.24</v>
      </c>
      <c r="I976" s="156">
        <v>7661.9</v>
      </c>
      <c r="J976" s="156">
        <v>2021.06</v>
      </c>
      <c r="K976" s="131">
        <f t="shared" si="98"/>
        <v>23950.2</v>
      </c>
      <c r="L976" s="134">
        <v>0.1792</v>
      </c>
    </row>
    <row r="977" spans="3:12">
      <c r="C977" s="161">
        <f t="shared" si="96"/>
        <v>2017</v>
      </c>
      <c r="D977" s="35" t="s">
        <v>275</v>
      </c>
      <c r="E977" s="227">
        <v>42979</v>
      </c>
      <c r="F977" s="156">
        <v>245354.16</v>
      </c>
      <c r="G977" s="131">
        <f t="shared" si="97"/>
        <v>43967.465472000004</v>
      </c>
      <c r="H977" s="156">
        <v>2738.69</v>
      </c>
      <c r="I977" s="156">
        <v>8254.4500000000007</v>
      </c>
      <c r="J977" s="156">
        <v>0</v>
      </c>
      <c r="K977" s="131">
        <f t="shared" si="98"/>
        <v>10993.140000000001</v>
      </c>
      <c r="L977" s="134">
        <v>0.1792</v>
      </c>
    </row>
    <row r="978" spans="3:12">
      <c r="C978" s="161">
        <f t="shared" si="96"/>
        <v>2017</v>
      </c>
      <c r="D978" s="35" t="s">
        <v>275</v>
      </c>
      <c r="E978" s="227">
        <v>43009</v>
      </c>
      <c r="F978" s="156">
        <v>252457.17</v>
      </c>
      <c r="G978" s="131">
        <f t="shared" si="97"/>
        <v>45240.324864000002</v>
      </c>
      <c r="H978" s="156">
        <v>2111.9299999999998</v>
      </c>
      <c r="I978" s="156">
        <v>3122.38</v>
      </c>
      <c r="J978" s="156">
        <v>0</v>
      </c>
      <c r="K978" s="131">
        <f t="shared" si="98"/>
        <v>5234.3099999999995</v>
      </c>
      <c r="L978" s="134">
        <v>0.1792</v>
      </c>
    </row>
    <row r="979" spans="3:12">
      <c r="C979" s="161">
        <f t="shared" si="96"/>
        <v>2017</v>
      </c>
      <c r="D979" s="35" t="s">
        <v>275</v>
      </c>
      <c r="E979" s="227">
        <v>43040</v>
      </c>
      <c r="F979" s="156">
        <v>247852.31</v>
      </c>
      <c r="G979" s="131">
        <f t="shared" si="97"/>
        <v>44415.133951999996</v>
      </c>
      <c r="H979" s="156">
        <v>320642.53999999998</v>
      </c>
      <c r="I979" s="156">
        <v>3262.09</v>
      </c>
      <c r="J979" s="156">
        <v>0</v>
      </c>
      <c r="K979" s="131">
        <f t="shared" si="98"/>
        <v>323904.63</v>
      </c>
      <c r="L979" s="134">
        <v>0.1792</v>
      </c>
    </row>
    <row r="980" spans="3:12">
      <c r="C980" s="161">
        <f t="shared" si="96"/>
        <v>2017</v>
      </c>
      <c r="D980" s="35" t="s">
        <v>275</v>
      </c>
      <c r="E980" s="227">
        <v>43070</v>
      </c>
      <c r="F980" s="156">
        <v>243863.09</v>
      </c>
      <c r="G980" s="131">
        <f t="shared" si="97"/>
        <v>43700.265727999998</v>
      </c>
      <c r="H980" s="156">
        <v>2929.6</v>
      </c>
      <c r="I980" s="156">
        <v>3574.51</v>
      </c>
      <c r="J980" s="156">
        <v>0</v>
      </c>
      <c r="K980" s="131">
        <f t="shared" si="98"/>
        <v>6504.1100000000006</v>
      </c>
      <c r="L980" s="134">
        <v>0.1792</v>
      </c>
    </row>
    <row r="981" spans="3:12">
      <c r="C981" s="161">
        <f t="shared" si="96"/>
        <v>2018</v>
      </c>
      <c r="D981" s="35" t="s">
        <v>275</v>
      </c>
      <c r="E981" s="227">
        <v>43101</v>
      </c>
      <c r="F981" s="156">
        <v>247285.15</v>
      </c>
      <c r="G981" s="131">
        <f t="shared" si="97"/>
        <v>44313.498879999999</v>
      </c>
      <c r="H981" s="156">
        <v>0</v>
      </c>
      <c r="I981" s="156">
        <v>0</v>
      </c>
      <c r="J981" s="156">
        <v>0</v>
      </c>
      <c r="K981" s="131">
        <f t="shared" si="98"/>
        <v>0</v>
      </c>
      <c r="L981" s="134">
        <v>0.1792</v>
      </c>
    </row>
    <row r="982" spans="3:12">
      <c r="C982" s="161">
        <f t="shared" si="96"/>
        <v>2018</v>
      </c>
      <c r="D982" s="35" t="s">
        <v>275</v>
      </c>
      <c r="E982" s="227">
        <v>43132</v>
      </c>
      <c r="F982" s="156">
        <v>254226.79</v>
      </c>
      <c r="G982" s="131">
        <f t="shared" si="97"/>
        <v>45557.440768</v>
      </c>
      <c r="H982" s="156">
        <v>791240.21</v>
      </c>
      <c r="I982" s="156">
        <v>0</v>
      </c>
      <c r="J982" s="156">
        <v>0</v>
      </c>
      <c r="K982" s="131">
        <f t="shared" si="98"/>
        <v>791240.21</v>
      </c>
      <c r="L982" s="134">
        <v>0.1792</v>
      </c>
    </row>
    <row r="983" spans="3:12">
      <c r="C983" s="161">
        <f t="shared" si="96"/>
        <v>2018</v>
      </c>
      <c r="D983" s="35" t="s">
        <v>275</v>
      </c>
      <c r="E983" s="227">
        <v>43160</v>
      </c>
      <c r="F983" s="156">
        <v>232377.8</v>
      </c>
      <c r="G983" s="131">
        <f t="shared" si="97"/>
        <v>41642.101759999998</v>
      </c>
      <c r="H983" s="156">
        <v>2372.83</v>
      </c>
      <c r="I983" s="156">
        <v>4270.3999999999996</v>
      </c>
      <c r="J983" s="156">
        <v>0</v>
      </c>
      <c r="K983" s="131">
        <f t="shared" si="98"/>
        <v>6643.23</v>
      </c>
      <c r="L983" s="134">
        <v>0.1792</v>
      </c>
    </row>
    <row r="984" spans="3:12">
      <c r="C984" s="161">
        <f t="shared" si="96"/>
        <v>2018</v>
      </c>
      <c r="D984" s="35" t="s">
        <v>275</v>
      </c>
      <c r="E984" s="227">
        <v>43191</v>
      </c>
      <c r="F984" s="156">
        <v>249986.9</v>
      </c>
      <c r="G984" s="131">
        <f t="shared" si="97"/>
        <v>44797.652479999997</v>
      </c>
      <c r="H984" s="156">
        <v>840.48</v>
      </c>
      <c r="I984" s="156">
        <v>4380.76</v>
      </c>
      <c r="J984" s="156">
        <v>0</v>
      </c>
      <c r="K984" s="131">
        <f t="shared" si="98"/>
        <v>5221.24</v>
      </c>
      <c r="L984" s="134">
        <v>0.1792</v>
      </c>
    </row>
    <row r="985" spans="3:12">
      <c r="C985" s="161">
        <f t="shared" si="96"/>
        <v>2018</v>
      </c>
      <c r="D985" s="35" t="s">
        <v>275</v>
      </c>
      <c r="E985" s="227">
        <v>43221</v>
      </c>
      <c r="F985" s="156">
        <v>287654.15000000002</v>
      </c>
      <c r="G985" s="131">
        <f t="shared" si="97"/>
        <v>51547.623680000004</v>
      </c>
      <c r="H985" s="156">
        <v>2404.5300000000002</v>
      </c>
      <c r="I985" s="156">
        <v>3749.22</v>
      </c>
      <c r="J985" s="156">
        <v>0</v>
      </c>
      <c r="K985" s="131">
        <f t="shared" si="98"/>
        <v>6153.75</v>
      </c>
      <c r="L985" s="134">
        <v>0.1792</v>
      </c>
    </row>
    <row r="986" spans="3:12">
      <c r="C986" s="161">
        <f t="shared" si="96"/>
        <v>2018</v>
      </c>
      <c r="D986" s="35" t="s">
        <v>275</v>
      </c>
      <c r="E986" s="227">
        <v>43252</v>
      </c>
      <c r="F986" s="156">
        <v>262492.96999999997</v>
      </c>
      <c r="G986" s="131">
        <f t="shared" si="97"/>
        <v>47038.740223999994</v>
      </c>
      <c r="H986" s="156">
        <v>2084.2199999999998</v>
      </c>
      <c r="I986" s="156">
        <v>222266.28</v>
      </c>
      <c r="J986" s="156">
        <v>0</v>
      </c>
      <c r="K986" s="131">
        <f t="shared" si="98"/>
        <v>224350.5</v>
      </c>
      <c r="L986" s="134">
        <v>0.1792</v>
      </c>
    </row>
    <row r="987" spans="3:12">
      <c r="C987" s="161">
        <f t="shared" si="96"/>
        <v>2018</v>
      </c>
      <c r="D987" s="35" t="s">
        <v>275</v>
      </c>
      <c r="E987" s="227">
        <v>43282</v>
      </c>
      <c r="F987" s="156">
        <v>274749.84000000003</v>
      </c>
      <c r="G987" s="131">
        <f t="shared" si="97"/>
        <v>49235.171328000004</v>
      </c>
      <c r="H987" s="156">
        <v>1289.68</v>
      </c>
      <c r="I987" s="156">
        <v>4305.22</v>
      </c>
      <c r="J987" s="156">
        <v>0</v>
      </c>
      <c r="K987" s="131">
        <f t="shared" si="98"/>
        <v>5594.9000000000005</v>
      </c>
      <c r="L987" s="134">
        <v>0.1792</v>
      </c>
    </row>
    <row r="988" spans="3:12">
      <c r="C988" s="161">
        <f t="shared" si="96"/>
        <v>2018</v>
      </c>
      <c r="D988" s="35" t="s">
        <v>275</v>
      </c>
      <c r="E988" s="227">
        <v>43313</v>
      </c>
      <c r="F988" s="156">
        <v>271132.59999999998</v>
      </c>
      <c r="G988" s="131">
        <f t="shared" si="97"/>
        <v>48586.961919999994</v>
      </c>
      <c r="H988" s="156">
        <v>532.77</v>
      </c>
      <c r="I988" s="156">
        <v>4284.99</v>
      </c>
      <c r="J988" s="156">
        <v>0</v>
      </c>
      <c r="K988" s="131">
        <f t="shared" si="98"/>
        <v>4817.76</v>
      </c>
      <c r="L988" s="134">
        <v>0.1792</v>
      </c>
    </row>
    <row r="989" spans="3:12">
      <c r="C989" s="161">
        <f t="shared" si="96"/>
        <v>2018</v>
      </c>
      <c r="D989" s="35" t="s">
        <v>275</v>
      </c>
      <c r="E989" s="227">
        <v>43344</v>
      </c>
      <c r="F989" s="156">
        <v>284797.86</v>
      </c>
      <c r="G989" s="131">
        <f t="shared" si="97"/>
        <v>51035.776511999997</v>
      </c>
      <c r="H989" s="156">
        <v>1155.52</v>
      </c>
      <c r="I989" s="156">
        <v>3731.79</v>
      </c>
      <c r="J989" s="156">
        <v>252.78</v>
      </c>
      <c r="K989" s="131">
        <f t="shared" si="98"/>
        <v>5140.0899999999992</v>
      </c>
      <c r="L989" s="134">
        <v>0.1792</v>
      </c>
    </row>
    <row r="990" spans="3:12">
      <c r="C990" s="161">
        <f t="shared" si="96"/>
        <v>2018</v>
      </c>
      <c r="D990" s="35" t="s">
        <v>275</v>
      </c>
      <c r="E990" s="227">
        <v>43374</v>
      </c>
      <c r="F990" s="156">
        <v>281957.32</v>
      </c>
      <c r="G990" s="131">
        <f t="shared" si="97"/>
        <v>50526.751744000001</v>
      </c>
      <c r="H990" s="156">
        <v>864.52</v>
      </c>
      <c r="I990" s="156">
        <v>81599.929999999993</v>
      </c>
      <c r="J990" s="156">
        <v>0</v>
      </c>
      <c r="K990" s="131">
        <f t="shared" si="98"/>
        <v>82464.45</v>
      </c>
      <c r="L990" s="134">
        <v>0.1792</v>
      </c>
    </row>
    <row r="991" spans="3:12">
      <c r="C991" s="161">
        <f t="shared" si="96"/>
        <v>2018</v>
      </c>
      <c r="D991" s="35" t="s">
        <v>275</v>
      </c>
      <c r="E991" s="227">
        <v>43405</v>
      </c>
      <c r="F991" s="156">
        <v>281377.19939999998</v>
      </c>
      <c r="G991" s="131">
        <f t="shared" si="97"/>
        <v>50422.794132479998</v>
      </c>
      <c r="H991" s="156">
        <v>683.55</v>
      </c>
      <c r="I991" s="156">
        <v>0</v>
      </c>
      <c r="J991" s="156">
        <v>43222.5</v>
      </c>
      <c r="K991" s="131">
        <f t="shared" si="98"/>
        <v>43906.05</v>
      </c>
      <c r="L991" s="134">
        <v>0.1792</v>
      </c>
    </row>
    <row r="992" spans="3:12">
      <c r="C992" s="161">
        <f t="shared" si="96"/>
        <v>2018</v>
      </c>
      <c r="D992" s="35" t="s">
        <v>275</v>
      </c>
      <c r="E992" s="227">
        <v>43435</v>
      </c>
      <c r="F992" s="156">
        <v>307415.5</v>
      </c>
      <c r="G992" s="131">
        <f t="shared" si="97"/>
        <v>55088.857600000003</v>
      </c>
      <c r="H992" s="156">
        <v>857.91</v>
      </c>
      <c r="I992" s="156">
        <v>3551.56</v>
      </c>
      <c r="J992" s="156" t="s">
        <v>267</v>
      </c>
      <c r="K992" s="131">
        <f t="shared" si="98"/>
        <v>4409.47</v>
      </c>
      <c r="L992" s="134">
        <v>0.1792</v>
      </c>
    </row>
    <row r="993" spans="3:12">
      <c r="C993" s="161">
        <f t="shared" si="96"/>
        <v>2019</v>
      </c>
      <c r="D993" s="35" t="s">
        <v>275</v>
      </c>
      <c r="E993" s="227">
        <v>43466</v>
      </c>
      <c r="F993" s="156">
        <v>272401.71999999997</v>
      </c>
      <c r="G993" s="131">
        <f t="shared" si="97"/>
        <v>48814.388223999995</v>
      </c>
      <c r="H993" s="156">
        <v>1458.53</v>
      </c>
      <c r="I993" s="156">
        <v>4280.05</v>
      </c>
      <c r="J993" s="156">
        <v>0</v>
      </c>
      <c r="K993" s="131">
        <f t="shared" si="98"/>
        <v>5738.58</v>
      </c>
      <c r="L993" s="134">
        <v>0.1792</v>
      </c>
    </row>
    <row r="994" spans="3:12">
      <c r="C994" s="161">
        <f t="shared" si="96"/>
        <v>2019</v>
      </c>
      <c r="D994" s="35" t="s">
        <v>275</v>
      </c>
      <c r="E994" s="227">
        <v>43497</v>
      </c>
      <c r="F994" s="156">
        <v>262898.01</v>
      </c>
      <c r="G994" s="131">
        <f t="shared" si="97"/>
        <v>47111.323391999998</v>
      </c>
      <c r="H994" s="156">
        <v>661.63</v>
      </c>
      <c r="I994" s="156">
        <v>0</v>
      </c>
      <c r="J994" s="156">
        <v>0</v>
      </c>
      <c r="K994" s="131">
        <f t="shared" si="98"/>
        <v>661.63</v>
      </c>
      <c r="L994" s="134">
        <v>0.1792</v>
      </c>
    </row>
    <row r="995" spans="3:12">
      <c r="C995" s="161">
        <f t="shared" si="96"/>
        <v>2019</v>
      </c>
      <c r="D995" s="35" t="s">
        <v>275</v>
      </c>
      <c r="E995" s="227">
        <v>43525</v>
      </c>
      <c r="F995" s="156">
        <v>206067.65</v>
      </c>
      <c r="G995" s="131">
        <f t="shared" si="97"/>
        <v>36927.32288</v>
      </c>
      <c r="H995" s="156">
        <v>1482.4</v>
      </c>
      <c r="I995" s="156">
        <v>6032.07</v>
      </c>
      <c r="J995" s="156">
        <v>0</v>
      </c>
      <c r="K995" s="131">
        <f t="shared" si="98"/>
        <v>7514.4699999999993</v>
      </c>
      <c r="L995" s="134">
        <v>0.1792</v>
      </c>
    </row>
    <row r="996" spans="3:12">
      <c r="C996" s="161">
        <f t="shared" si="96"/>
        <v>2019</v>
      </c>
      <c r="D996" s="35" t="s">
        <v>275</v>
      </c>
      <c r="E996" s="227">
        <v>43556</v>
      </c>
      <c r="F996" s="156">
        <v>272101.57</v>
      </c>
      <c r="G996" s="131">
        <f t="shared" si="97"/>
        <v>48760.601344000002</v>
      </c>
      <c r="H996" s="156">
        <v>8839.76</v>
      </c>
      <c r="I996" s="156">
        <v>7220.14</v>
      </c>
      <c r="J996" s="156">
        <v>0</v>
      </c>
      <c r="K996" s="131">
        <f t="shared" si="98"/>
        <v>16059.900000000001</v>
      </c>
      <c r="L996" s="134">
        <v>0.1792</v>
      </c>
    </row>
    <row r="997" spans="3:12">
      <c r="C997" s="161">
        <f t="shared" si="96"/>
        <v>2019</v>
      </c>
      <c r="D997" s="35" t="s">
        <v>275</v>
      </c>
      <c r="E997" s="227">
        <v>43586</v>
      </c>
      <c r="F997" s="156">
        <v>240389.31</v>
      </c>
      <c r="G997" s="131">
        <f t="shared" si="97"/>
        <v>43077.764351999998</v>
      </c>
      <c r="H997" s="156">
        <v>1318.8</v>
      </c>
      <c r="I997" s="156">
        <v>6078.18</v>
      </c>
      <c r="J997" s="156">
        <v>0</v>
      </c>
      <c r="K997" s="131">
        <f t="shared" si="98"/>
        <v>7396.9800000000005</v>
      </c>
      <c r="L997" s="134">
        <v>0.1792</v>
      </c>
    </row>
    <row r="998" spans="3:12">
      <c r="C998" s="161">
        <f t="shared" si="96"/>
        <v>2019</v>
      </c>
      <c r="D998" s="35" t="s">
        <v>275</v>
      </c>
      <c r="E998" s="227">
        <v>43617</v>
      </c>
      <c r="F998" s="156">
        <v>267589.53999999998</v>
      </c>
      <c r="G998" s="131">
        <f t="shared" si="97"/>
        <v>47952.045567999994</v>
      </c>
      <c r="H998" s="156">
        <v>4202.74</v>
      </c>
      <c r="I998" s="156">
        <v>0</v>
      </c>
      <c r="J998" s="156">
        <v>0</v>
      </c>
      <c r="K998" s="131">
        <f t="shared" si="98"/>
        <v>4202.74</v>
      </c>
      <c r="L998" s="134">
        <v>0.1792</v>
      </c>
    </row>
    <row r="999" spans="3:12">
      <c r="C999" s="161">
        <f t="shared" si="96"/>
        <v>2019</v>
      </c>
      <c r="D999" s="35" t="s">
        <v>275</v>
      </c>
      <c r="E999" s="227">
        <v>43647</v>
      </c>
      <c r="F999" s="156">
        <v>231686.01</v>
      </c>
      <c r="G999" s="131">
        <f t="shared" si="97"/>
        <v>41518.132991999999</v>
      </c>
      <c r="H999" s="156">
        <v>1428.37</v>
      </c>
      <c r="I999" s="156">
        <v>0</v>
      </c>
      <c r="J999" s="156">
        <v>0</v>
      </c>
      <c r="K999" s="131">
        <f t="shared" si="98"/>
        <v>1428.37</v>
      </c>
      <c r="L999" s="134">
        <v>0.1792</v>
      </c>
    </row>
    <row r="1000" spans="3:12">
      <c r="C1000" s="161">
        <f t="shared" si="96"/>
        <v>2019</v>
      </c>
      <c r="D1000" s="35" t="s">
        <v>275</v>
      </c>
      <c r="E1000" s="227">
        <v>43678</v>
      </c>
      <c r="F1000" s="156">
        <v>214446.9</v>
      </c>
      <c r="G1000" s="131">
        <f t="shared" si="97"/>
        <v>38428.884480000001</v>
      </c>
      <c r="H1000" s="156">
        <v>1950.6</v>
      </c>
      <c r="I1000" s="156">
        <v>558220.38</v>
      </c>
      <c r="J1000" s="156">
        <v>0</v>
      </c>
      <c r="K1000" s="131">
        <f t="shared" si="98"/>
        <v>560170.98</v>
      </c>
      <c r="L1000" s="134">
        <v>0.1792</v>
      </c>
    </row>
    <row r="1001" spans="3:12">
      <c r="C1001" s="161">
        <f t="shared" si="96"/>
        <v>2019</v>
      </c>
      <c r="D1001" s="35" t="s">
        <v>275</v>
      </c>
      <c r="E1001" s="227">
        <v>43709</v>
      </c>
      <c r="F1001" s="156">
        <v>278846.53000000003</v>
      </c>
      <c r="G1001" s="131">
        <f t="shared" si="97"/>
        <v>49969.298176000004</v>
      </c>
      <c r="H1001" s="156">
        <v>9941.09</v>
      </c>
      <c r="I1001" s="156">
        <v>63397.760000000002</v>
      </c>
      <c r="J1001" s="156">
        <v>7528.26</v>
      </c>
      <c r="K1001" s="131">
        <f t="shared" si="98"/>
        <v>80867.11</v>
      </c>
      <c r="L1001" s="134">
        <v>0.1792</v>
      </c>
    </row>
    <row r="1002" spans="3:12">
      <c r="C1002" s="161">
        <f t="shared" si="96"/>
        <v>2019</v>
      </c>
      <c r="D1002" s="35" t="s">
        <v>275</v>
      </c>
      <c r="E1002" s="227">
        <v>43739</v>
      </c>
      <c r="F1002" s="156">
        <v>263155.64</v>
      </c>
      <c r="G1002" s="131">
        <f t="shared" si="97"/>
        <v>47157.490688000005</v>
      </c>
      <c r="H1002" s="156">
        <v>790.9</v>
      </c>
      <c r="I1002" s="156">
        <v>406.54</v>
      </c>
      <c r="J1002" s="156">
        <v>0</v>
      </c>
      <c r="K1002" s="131">
        <f t="shared" si="98"/>
        <v>1197.44</v>
      </c>
      <c r="L1002" s="134">
        <v>0.1792</v>
      </c>
    </row>
    <row r="1003" spans="3:12">
      <c r="C1003" s="161">
        <f t="shared" si="96"/>
        <v>2019</v>
      </c>
      <c r="D1003" s="35" t="s">
        <v>275</v>
      </c>
      <c r="E1003" s="227">
        <v>43770</v>
      </c>
      <c r="F1003" s="156">
        <v>278122.11</v>
      </c>
      <c r="G1003" s="131">
        <f t="shared" si="97"/>
        <v>49839.482111999998</v>
      </c>
      <c r="H1003" s="156">
        <v>9466.85</v>
      </c>
      <c r="I1003" s="156">
        <v>2611.2800000000002</v>
      </c>
      <c r="J1003" s="156">
        <v>12078.13</v>
      </c>
      <c r="K1003" s="131">
        <f t="shared" si="98"/>
        <v>24156.260000000002</v>
      </c>
      <c r="L1003" s="134">
        <v>0.1792</v>
      </c>
    </row>
    <row r="1004" spans="3:12">
      <c r="C1004" s="161">
        <f t="shared" si="96"/>
        <v>2019</v>
      </c>
      <c r="D1004" s="35" t="s">
        <v>275</v>
      </c>
      <c r="E1004" s="227">
        <v>43800</v>
      </c>
      <c r="F1004" s="156">
        <v>263304.94</v>
      </c>
      <c r="G1004" s="131">
        <f t="shared" si="97"/>
        <v>47184.245247999999</v>
      </c>
      <c r="H1004" s="156">
        <v>33.369999999999997</v>
      </c>
      <c r="I1004" s="156">
        <v>2611.2800000000002</v>
      </c>
      <c r="J1004" s="156">
        <v>0</v>
      </c>
      <c r="K1004" s="131">
        <f t="shared" si="98"/>
        <v>2644.65</v>
      </c>
      <c r="L1004" s="134">
        <v>0.1792</v>
      </c>
    </row>
    <row r="1005" spans="3:12">
      <c r="C1005" s="161">
        <f t="shared" si="96"/>
        <v>2020</v>
      </c>
      <c r="D1005" s="35" t="s">
        <v>275</v>
      </c>
      <c r="E1005" s="227">
        <v>43831</v>
      </c>
      <c r="F1005" s="156">
        <v>260659.06</v>
      </c>
      <c r="G1005" s="131">
        <f t="shared" si="97"/>
        <v>46710.103552</v>
      </c>
      <c r="H1005" s="156">
        <v>3552.48</v>
      </c>
      <c r="I1005" s="156">
        <v>0.01</v>
      </c>
      <c r="J1005" s="156">
        <v>0</v>
      </c>
      <c r="K1005" s="131">
        <f t="shared" si="98"/>
        <v>3552.4900000000002</v>
      </c>
      <c r="L1005" s="134">
        <v>0.1792</v>
      </c>
    </row>
    <row r="1006" spans="3:12">
      <c r="C1006" s="161">
        <f t="shared" si="96"/>
        <v>2020</v>
      </c>
      <c r="D1006" s="35" t="s">
        <v>275</v>
      </c>
      <c r="E1006" s="227">
        <v>43862</v>
      </c>
      <c r="F1006" s="156">
        <v>253545.28</v>
      </c>
      <c r="G1006" s="131">
        <f t="shared" si="97"/>
        <v>45435.314176</v>
      </c>
      <c r="H1006" s="156">
        <v>3305.83</v>
      </c>
      <c r="I1006" s="156">
        <v>1225.08</v>
      </c>
      <c r="J1006" s="156">
        <v>0</v>
      </c>
      <c r="K1006" s="131">
        <f t="shared" si="98"/>
        <v>4530.91</v>
      </c>
      <c r="L1006" s="134">
        <v>0.1792</v>
      </c>
    </row>
    <row r="1007" spans="3:12">
      <c r="C1007" s="161">
        <f t="shared" si="96"/>
        <v>2020</v>
      </c>
      <c r="D1007" s="35" t="s">
        <v>275</v>
      </c>
      <c r="E1007" s="227">
        <v>43891</v>
      </c>
      <c r="F1007" s="156">
        <v>250129.569525</v>
      </c>
      <c r="G1007" s="131">
        <f t="shared" si="97"/>
        <v>44823.218858879998</v>
      </c>
      <c r="H1007" s="156">
        <v>50466.54</v>
      </c>
      <c r="I1007" s="156">
        <v>0</v>
      </c>
      <c r="J1007" s="156">
        <v>0</v>
      </c>
      <c r="K1007" s="131">
        <f t="shared" si="98"/>
        <v>50466.54</v>
      </c>
      <c r="L1007" s="134">
        <v>0.1792</v>
      </c>
    </row>
    <row r="1008" spans="3:12">
      <c r="C1008" s="161">
        <f t="shared" si="96"/>
        <v>2020</v>
      </c>
      <c r="D1008" s="35" t="s">
        <v>275</v>
      </c>
      <c r="E1008" s="227">
        <v>43922</v>
      </c>
      <c r="F1008" s="156">
        <v>268560.20482500002</v>
      </c>
      <c r="G1008" s="131">
        <f t="shared" si="97"/>
        <v>48125.988704640004</v>
      </c>
      <c r="H1008" s="156">
        <v>747579.72</v>
      </c>
      <c r="I1008" s="156">
        <v>3368.4</v>
      </c>
      <c r="J1008" s="156">
        <v>0</v>
      </c>
      <c r="K1008" s="131">
        <f t="shared" si="98"/>
        <v>750948.12</v>
      </c>
      <c r="L1008" s="134">
        <v>0.1792</v>
      </c>
    </row>
    <row r="1009" spans="3:12">
      <c r="C1009" s="161">
        <f t="shared" si="96"/>
        <v>2020</v>
      </c>
      <c r="D1009" s="35" t="s">
        <v>275</v>
      </c>
      <c r="E1009" s="227">
        <v>43952</v>
      </c>
      <c r="F1009" s="156">
        <v>248644.94</v>
      </c>
      <c r="G1009" s="131">
        <f t="shared" si="97"/>
        <v>44557.173247999999</v>
      </c>
      <c r="H1009" s="156">
        <v>3241.85</v>
      </c>
      <c r="I1009" s="156">
        <v>4513.8500000000004</v>
      </c>
      <c r="J1009" s="156">
        <v>0</v>
      </c>
      <c r="K1009" s="131">
        <f t="shared" si="98"/>
        <v>7755.7000000000007</v>
      </c>
      <c r="L1009" s="134">
        <v>0.1792</v>
      </c>
    </row>
    <row r="1010" spans="3:12">
      <c r="C1010" s="161">
        <f t="shared" si="96"/>
        <v>2020</v>
      </c>
      <c r="D1010" s="35" t="s">
        <v>275</v>
      </c>
      <c r="E1010" s="227">
        <v>43983</v>
      </c>
      <c r="F1010" s="156">
        <v>235725.41</v>
      </c>
      <c r="G1010" s="131">
        <f t="shared" si="97"/>
        <v>42241.993472000002</v>
      </c>
      <c r="H1010" s="156">
        <v>5307.94</v>
      </c>
      <c r="I1010" s="156">
        <v>3120.8</v>
      </c>
      <c r="J1010" s="156">
        <v>0</v>
      </c>
      <c r="K1010" s="131">
        <f t="shared" si="98"/>
        <v>8428.74</v>
      </c>
      <c r="L1010" s="134">
        <v>0.1792</v>
      </c>
    </row>
    <row r="1011" spans="3:12">
      <c r="C1011" s="161">
        <f t="shared" si="96"/>
        <v>2020</v>
      </c>
      <c r="D1011" s="35" t="s">
        <v>275</v>
      </c>
      <c r="E1011" s="227">
        <v>44013</v>
      </c>
      <c r="F1011" s="156">
        <v>238538.69</v>
      </c>
      <c r="G1011" s="131">
        <f t="shared" si="97"/>
        <v>42746.133247999998</v>
      </c>
      <c r="H1011" s="156">
        <v>913.64</v>
      </c>
      <c r="I1011" s="156">
        <v>0</v>
      </c>
      <c r="J1011" s="156">
        <v>663.7</v>
      </c>
      <c r="K1011" s="131">
        <f t="shared" si="98"/>
        <v>1577.3400000000001</v>
      </c>
      <c r="L1011" s="134">
        <v>0.1792</v>
      </c>
    </row>
    <row r="1012" spans="3:12">
      <c r="C1012" s="161">
        <f t="shared" si="96"/>
        <v>2020</v>
      </c>
      <c r="D1012" s="35" t="s">
        <v>275</v>
      </c>
      <c r="E1012" s="227">
        <v>44044</v>
      </c>
      <c r="F1012" s="156">
        <v>263565.32</v>
      </c>
      <c r="G1012" s="131">
        <f t="shared" si="97"/>
        <v>47230.905343999999</v>
      </c>
      <c r="H1012" s="156">
        <v>21160.67</v>
      </c>
      <c r="I1012" s="156">
        <v>0</v>
      </c>
      <c r="J1012" s="156">
        <v>235.14</v>
      </c>
      <c r="K1012" s="131">
        <f t="shared" si="98"/>
        <v>21395.809999999998</v>
      </c>
      <c r="L1012" s="134">
        <v>0.1792</v>
      </c>
    </row>
    <row r="1013" spans="3:12">
      <c r="C1013" s="161">
        <f t="shared" si="96"/>
        <v>2020</v>
      </c>
      <c r="D1013" s="35" t="s">
        <v>275</v>
      </c>
      <c r="E1013" s="227">
        <v>44075</v>
      </c>
      <c r="F1013" s="156">
        <v>286199.87</v>
      </c>
      <c r="G1013" s="131">
        <f t="shared" si="97"/>
        <v>51287.016704000001</v>
      </c>
      <c r="H1013" s="156">
        <v>2152.9</v>
      </c>
      <c r="I1013" s="156">
        <v>0</v>
      </c>
      <c r="J1013" s="156">
        <v>2350</v>
      </c>
      <c r="K1013" s="131">
        <f t="shared" si="98"/>
        <v>4502.8999999999996</v>
      </c>
      <c r="L1013" s="134">
        <v>0.1792</v>
      </c>
    </row>
    <row r="1014" spans="3:12">
      <c r="C1014" s="161">
        <f t="shared" si="96"/>
        <v>2020</v>
      </c>
      <c r="D1014" s="35" t="s">
        <v>275</v>
      </c>
      <c r="E1014" s="227">
        <v>44105</v>
      </c>
      <c r="F1014" s="156">
        <v>324201.89</v>
      </c>
      <c r="G1014" s="131">
        <f t="shared" si="97"/>
        <v>58096.978688000003</v>
      </c>
      <c r="H1014" s="156">
        <v>1282.74</v>
      </c>
      <c r="I1014" s="156">
        <v>0</v>
      </c>
      <c r="J1014" s="156">
        <v>8090</v>
      </c>
      <c r="K1014" s="131">
        <f t="shared" si="98"/>
        <v>9372.74</v>
      </c>
      <c r="L1014" s="134">
        <v>0.1792</v>
      </c>
    </row>
    <row r="1015" spans="3:12">
      <c r="C1015" s="161">
        <f t="shared" si="96"/>
        <v>2020</v>
      </c>
      <c r="D1015" s="35" t="s">
        <v>275</v>
      </c>
      <c r="E1015" s="227">
        <v>44136</v>
      </c>
      <c r="F1015" s="156">
        <v>276098.01</v>
      </c>
      <c r="G1015" s="131">
        <f t="shared" si="97"/>
        <v>49476.763392000001</v>
      </c>
      <c r="H1015" s="156">
        <v>3111.13</v>
      </c>
      <c r="I1015" s="156">
        <v>0</v>
      </c>
      <c r="J1015" s="156">
        <v>0</v>
      </c>
      <c r="K1015" s="131">
        <f t="shared" si="98"/>
        <v>3111.13</v>
      </c>
      <c r="L1015" s="134">
        <v>0.1792</v>
      </c>
    </row>
    <row r="1016" spans="3:12">
      <c r="C1016" s="161">
        <f t="shared" si="96"/>
        <v>2020</v>
      </c>
      <c r="D1016" s="35" t="s">
        <v>275</v>
      </c>
      <c r="E1016" s="227">
        <v>44166</v>
      </c>
      <c r="F1016" s="156">
        <v>289601.55</v>
      </c>
      <c r="G1016" s="131">
        <f t="shared" si="97"/>
        <v>51896.597759999997</v>
      </c>
      <c r="H1016" s="156">
        <v>334267.92</v>
      </c>
      <c r="I1016" s="156">
        <v>2523.1799999999998</v>
      </c>
      <c r="J1016" s="156">
        <v>0</v>
      </c>
      <c r="K1016" s="131">
        <f t="shared" si="98"/>
        <v>336791.1</v>
      </c>
      <c r="L1016" s="134">
        <v>0.1792</v>
      </c>
    </row>
    <row r="1017" spans="3:12">
      <c r="C1017" s="161">
        <f t="shared" si="96"/>
        <v>2021</v>
      </c>
      <c r="D1017" s="35" t="s">
        <v>275</v>
      </c>
      <c r="E1017" s="227">
        <v>44197</v>
      </c>
      <c r="F1017" s="156">
        <v>293051.81</v>
      </c>
      <c r="G1017" s="131">
        <f t="shared" si="97"/>
        <v>52514.884352000001</v>
      </c>
      <c r="H1017" s="156">
        <v>704.95</v>
      </c>
      <c r="I1017" s="156">
        <v>2629.6</v>
      </c>
      <c r="J1017" s="156">
        <v>0</v>
      </c>
      <c r="K1017" s="131">
        <f t="shared" si="98"/>
        <v>3334.55</v>
      </c>
      <c r="L1017" s="134">
        <v>0.1792</v>
      </c>
    </row>
    <row r="1018" spans="3:12">
      <c r="C1018" s="161">
        <f t="shared" si="96"/>
        <v>2021</v>
      </c>
      <c r="D1018" s="35" t="s">
        <v>275</v>
      </c>
      <c r="E1018" s="227">
        <v>44229</v>
      </c>
      <c r="F1018" s="156">
        <v>252887.23</v>
      </c>
      <c r="G1018" s="131">
        <f t="shared" si="97"/>
        <v>45317.391616000001</v>
      </c>
      <c r="H1018" s="156">
        <v>25079</v>
      </c>
      <c r="I1018" s="156">
        <v>1237.1199999999999</v>
      </c>
      <c r="J1018" s="156">
        <v>0</v>
      </c>
      <c r="K1018" s="131">
        <f t="shared" si="98"/>
        <v>26316.12</v>
      </c>
      <c r="L1018" s="134">
        <v>0.1792</v>
      </c>
    </row>
    <row r="1019" spans="3:12">
      <c r="C1019" s="161">
        <f t="shared" si="96"/>
        <v>2021</v>
      </c>
      <c r="D1019" s="35" t="s">
        <v>275</v>
      </c>
      <c r="E1019" s="227">
        <v>44258</v>
      </c>
      <c r="F1019" s="156">
        <v>249599.61</v>
      </c>
      <c r="G1019" s="131">
        <f t="shared" si="97"/>
        <v>44728.250111999994</v>
      </c>
      <c r="H1019" s="156">
        <v>7006.81</v>
      </c>
      <c r="I1019" s="156">
        <v>687.91</v>
      </c>
      <c r="J1019" s="156">
        <v>0</v>
      </c>
      <c r="K1019" s="131">
        <f t="shared" si="98"/>
        <v>7694.72</v>
      </c>
      <c r="L1019" s="134">
        <v>0.1792</v>
      </c>
    </row>
    <row r="1020" spans="3:12">
      <c r="C1020" s="161">
        <f t="shared" si="96"/>
        <v>2021</v>
      </c>
      <c r="D1020" s="35" t="s">
        <v>275</v>
      </c>
      <c r="E1020" s="227">
        <v>44290</v>
      </c>
      <c r="F1020" s="156">
        <v>287481.7</v>
      </c>
      <c r="G1020" s="131">
        <f t="shared" si="97"/>
        <v>51516.72064</v>
      </c>
      <c r="H1020" s="156">
        <v>513.91999999999996</v>
      </c>
      <c r="I1020" s="156">
        <v>0</v>
      </c>
      <c r="J1020" s="156">
        <v>0</v>
      </c>
      <c r="K1020" s="131">
        <f t="shared" si="98"/>
        <v>513.91999999999996</v>
      </c>
      <c r="L1020" s="134">
        <v>0.1792</v>
      </c>
    </row>
    <row r="1021" spans="3:12">
      <c r="C1021" s="161">
        <f t="shared" si="96"/>
        <v>2021</v>
      </c>
      <c r="D1021" s="35" t="s">
        <v>275</v>
      </c>
      <c r="E1021" s="227">
        <v>44321</v>
      </c>
      <c r="F1021" s="156">
        <v>264227.32</v>
      </c>
      <c r="G1021" s="131">
        <f t="shared" si="97"/>
        <v>47349.535744000001</v>
      </c>
      <c r="H1021" s="156">
        <v>6622.37</v>
      </c>
      <c r="I1021" s="156">
        <v>0</v>
      </c>
      <c r="J1021" s="156">
        <v>0</v>
      </c>
      <c r="K1021" s="131">
        <f t="shared" si="98"/>
        <v>6622.37</v>
      </c>
      <c r="L1021" s="134">
        <v>0.1792</v>
      </c>
    </row>
    <row r="1022" spans="3:12">
      <c r="C1022" s="161">
        <f t="shared" si="96"/>
        <v>2021</v>
      </c>
      <c r="D1022" s="35" t="s">
        <v>275</v>
      </c>
      <c r="E1022" s="227">
        <v>44353</v>
      </c>
      <c r="F1022" s="156">
        <v>259330.54</v>
      </c>
      <c r="G1022" s="131">
        <f t="shared" si="97"/>
        <v>46472.032768000005</v>
      </c>
      <c r="H1022" s="156">
        <v>1924.82</v>
      </c>
      <c r="I1022" s="156">
        <v>0</v>
      </c>
      <c r="J1022" s="156">
        <v>0</v>
      </c>
      <c r="K1022" s="131">
        <f t="shared" si="98"/>
        <v>1924.82</v>
      </c>
      <c r="L1022" s="134">
        <v>0.1792</v>
      </c>
    </row>
    <row r="1023" spans="3:12">
      <c r="C1023" s="161">
        <f t="shared" si="96"/>
        <v>2015</v>
      </c>
      <c r="D1023" s="35" t="s">
        <v>276</v>
      </c>
      <c r="E1023" s="227">
        <v>42309</v>
      </c>
      <c r="F1023" s="156">
        <v>460063.32</v>
      </c>
      <c r="G1023" s="131">
        <f t="shared" si="97"/>
        <v>82443.346944000004</v>
      </c>
      <c r="H1023" s="156">
        <v>2673.52</v>
      </c>
      <c r="I1023" s="156">
        <v>100.67</v>
      </c>
      <c r="J1023" s="156">
        <v>0</v>
      </c>
      <c r="K1023" s="131">
        <f t="shared" si="98"/>
        <v>2774.19</v>
      </c>
      <c r="L1023" s="134">
        <v>0.1792</v>
      </c>
    </row>
    <row r="1024" spans="3:12">
      <c r="C1024" s="161">
        <f t="shared" si="96"/>
        <v>2015</v>
      </c>
      <c r="D1024" s="35" t="s">
        <v>276</v>
      </c>
      <c r="E1024" s="227">
        <v>42339</v>
      </c>
      <c r="F1024" s="156">
        <v>424767.56</v>
      </c>
      <c r="G1024" s="131">
        <f t="shared" si="97"/>
        <v>76118.346751999998</v>
      </c>
      <c r="H1024" s="156">
        <v>131997.31</v>
      </c>
      <c r="I1024" s="156">
        <v>0</v>
      </c>
      <c r="J1024" s="156">
        <v>0</v>
      </c>
      <c r="K1024" s="131">
        <f t="shared" si="98"/>
        <v>131997.31</v>
      </c>
      <c r="L1024" s="134">
        <v>0.1792</v>
      </c>
    </row>
    <row r="1025" spans="3:12">
      <c r="C1025" s="161">
        <f t="shared" si="96"/>
        <v>2016</v>
      </c>
      <c r="D1025" s="35" t="s">
        <v>276</v>
      </c>
      <c r="E1025" s="227">
        <v>42370</v>
      </c>
      <c r="F1025" s="156">
        <v>434656.18</v>
      </c>
      <c r="G1025" s="131">
        <f t="shared" si="97"/>
        <v>77890.387455999997</v>
      </c>
      <c r="H1025" s="156">
        <v>2614.9899999999998</v>
      </c>
      <c r="I1025" s="156">
        <v>80.48</v>
      </c>
      <c r="J1025" s="156">
        <v>0</v>
      </c>
      <c r="K1025" s="131">
        <f t="shared" si="98"/>
        <v>2695.47</v>
      </c>
      <c r="L1025" s="134">
        <v>0.1792</v>
      </c>
    </row>
    <row r="1026" spans="3:12">
      <c r="C1026" s="161">
        <f t="shared" si="96"/>
        <v>2016</v>
      </c>
      <c r="D1026" s="35" t="s">
        <v>276</v>
      </c>
      <c r="E1026" s="227">
        <v>42401</v>
      </c>
      <c r="F1026" s="156">
        <v>444179.44</v>
      </c>
      <c r="G1026" s="131">
        <f t="shared" si="97"/>
        <v>79596.955648000003</v>
      </c>
      <c r="H1026" s="156">
        <v>4625.6499999999996</v>
      </c>
      <c r="I1026" s="156">
        <v>0</v>
      </c>
      <c r="J1026" s="156">
        <v>0</v>
      </c>
      <c r="K1026" s="131">
        <f t="shared" si="98"/>
        <v>4625.6499999999996</v>
      </c>
      <c r="L1026" s="134">
        <v>0.1792</v>
      </c>
    </row>
    <row r="1027" spans="3:12">
      <c r="C1027" s="161">
        <f t="shared" si="96"/>
        <v>2016</v>
      </c>
      <c r="D1027" s="35" t="s">
        <v>276</v>
      </c>
      <c r="E1027" s="227">
        <v>42430</v>
      </c>
      <c r="F1027" s="156">
        <v>425627.54</v>
      </c>
      <c r="G1027" s="131">
        <f t="shared" si="97"/>
        <v>76272.455168</v>
      </c>
      <c r="H1027" s="156">
        <v>3587.1</v>
      </c>
      <c r="I1027" s="156">
        <v>77.73</v>
      </c>
      <c r="J1027" s="156">
        <v>0</v>
      </c>
      <c r="K1027" s="131">
        <f t="shared" si="98"/>
        <v>3664.83</v>
      </c>
      <c r="L1027" s="134">
        <v>0.1792</v>
      </c>
    </row>
    <row r="1028" spans="3:12">
      <c r="C1028" s="161">
        <f t="shared" ref="C1028:C1091" si="99">YEAR(E1028)</f>
        <v>2016</v>
      </c>
      <c r="D1028" s="35" t="s">
        <v>276</v>
      </c>
      <c r="E1028" s="227">
        <v>42461</v>
      </c>
      <c r="F1028" s="156">
        <v>462896.79</v>
      </c>
      <c r="G1028" s="131">
        <f t="shared" ref="G1028:G1091" si="100">F1028*L1028</f>
        <v>82951.10476799999</v>
      </c>
      <c r="H1028" s="156">
        <v>5716.12</v>
      </c>
      <c r="I1028" s="156">
        <v>253.42</v>
      </c>
      <c r="J1028" s="156">
        <v>0</v>
      </c>
      <c r="K1028" s="131">
        <f t="shared" ref="K1028:K1091" si="101">SUM(H1028:J1028)</f>
        <v>5969.54</v>
      </c>
      <c r="L1028" s="134">
        <v>0.1792</v>
      </c>
    </row>
    <row r="1029" spans="3:12">
      <c r="C1029" s="161">
        <f t="shared" si="99"/>
        <v>2016</v>
      </c>
      <c r="D1029" s="35" t="s">
        <v>276</v>
      </c>
      <c r="E1029" s="227">
        <v>42491</v>
      </c>
      <c r="F1029" s="156">
        <v>424291.81</v>
      </c>
      <c r="G1029" s="131">
        <f t="shared" si="100"/>
        <v>76033.092351999992</v>
      </c>
      <c r="H1029" s="156">
        <v>3550.89</v>
      </c>
      <c r="I1029" s="156">
        <v>0</v>
      </c>
      <c r="J1029" s="156">
        <v>0</v>
      </c>
      <c r="K1029" s="131">
        <f t="shared" si="101"/>
        <v>3550.89</v>
      </c>
      <c r="L1029" s="134">
        <v>0.1792</v>
      </c>
    </row>
    <row r="1030" spans="3:12">
      <c r="C1030" s="161">
        <f t="shared" si="99"/>
        <v>2016</v>
      </c>
      <c r="D1030" s="35" t="s">
        <v>276</v>
      </c>
      <c r="E1030" s="227">
        <v>42522</v>
      </c>
      <c r="F1030" s="156">
        <v>403043.56</v>
      </c>
      <c r="G1030" s="131">
        <f t="shared" si="100"/>
        <v>72225.405952000001</v>
      </c>
      <c r="H1030" s="156">
        <v>3991.78</v>
      </c>
      <c r="I1030" s="156">
        <v>236.51</v>
      </c>
      <c r="J1030" s="156">
        <v>3980</v>
      </c>
      <c r="K1030" s="131">
        <f t="shared" si="101"/>
        <v>8208.2900000000009</v>
      </c>
      <c r="L1030" s="134">
        <v>0.1792</v>
      </c>
    </row>
    <row r="1031" spans="3:12">
      <c r="C1031" s="161">
        <f t="shared" si="99"/>
        <v>2016</v>
      </c>
      <c r="D1031" s="35" t="s">
        <v>276</v>
      </c>
      <c r="E1031" s="227">
        <v>42552</v>
      </c>
      <c r="F1031" s="156">
        <v>454462.54</v>
      </c>
      <c r="G1031" s="131">
        <f t="shared" si="100"/>
        <v>81439.687167999989</v>
      </c>
      <c r="H1031" s="156">
        <v>147221.26999999999</v>
      </c>
      <c r="I1031" s="156">
        <v>93262.77</v>
      </c>
      <c r="J1031" s="156">
        <v>0</v>
      </c>
      <c r="K1031" s="131">
        <f t="shared" si="101"/>
        <v>240484.03999999998</v>
      </c>
      <c r="L1031" s="134">
        <v>0.1792</v>
      </c>
    </row>
    <row r="1032" spans="3:12">
      <c r="C1032" s="161">
        <f t="shared" si="99"/>
        <v>2016</v>
      </c>
      <c r="D1032" s="35" t="s">
        <v>276</v>
      </c>
      <c r="E1032" s="227">
        <v>42583</v>
      </c>
      <c r="F1032" s="156">
        <v>458078.04</v>
      </c>
      <c r="G1032" s="131">
        <f t="shared" si="100"/>
        <v>82087.584768000001</v>
      </c>
      <c r="H1032" s="156">
        <v>262898.3</v>
      </c>
      <c r="I1032" s="156">
        <v>81.06</v>
      </c>
      <c r="J1032" s="156">
        <v>1974.66</v>
      </c>
      <c r="K1032" s="131">
        <f t="shared" si="101"/>
        <v>264954.01999999996</v>
      </c>
      <c r="L1032" s="134">
        <v>0.1792</v>
      </c>
    </row>
    <row r="1033" spans="3:12">
      <c r="C1033" s="161">
        <f t="shared" si="99"/>
        <v>2016</v>
      </c>
      <c r="D1033" s="35" t="s">
        <v>276</v>
      </c>
      <c r="E1033" s="227">
        <v>42614</v>
      </c>
      <c r="F1033" s="156">
        <v>464402.54</v>
      </c>
      <c r="G1033" s="131">
        <f t="shared" si="100"/>
        <v>83220.935167999996</v>
      </c>
      <c r="H1033" s="156">
        <v>110715.5</v>
      </c>
      <c r="I1033" s="156">
        <v>168.74</v>
      </c>
      <c r="J1033" s="156">
        <v>0</v>
      </c>
      <c r="K1033" s="131">
        <f t="shared" si="101"/>
        <v>110884.24</v>
      </c>
      <c r="L1033" s="134">
        <v>0.1792</v>
      </c>
    </row>
    <row r="1034" spans="3:12">
      <c r="C1034" s="161">
        <f t="shared" si="99"/>
        <v>2016</v>
      </c>
      <c r="D1034" s="35" t="s">
        <v>276</v>
      </c>
      <c r="E1034" s="227">
        <v>42644</v>
      </c>
      <c r="F1034" s="156">
        <v>474577.82</v>
      </c>
      <c r="G1034" s="131">
        <f t="shared" si="100"/>
        <v>85044.345344000001</v>
      </c>
      <c r="H1034" s="156">
        <v>51517.5</v>
      </c>
      <c r="I1034" s="156">
        <v>0</v>
      </c>
      <c r="J1034" s="156">
        <v>0</v>
      </c>
      <c r="K1034" s="131">
        <f t="shared" si="101"/>
        <v>51517.5</v>
      </c>
      <c r="L1034" s="134">
        <v>0.1792</v>
      </c>
    </row>
    <row r="1035" spans="3:12">
      <c r="C1035" s="161">
        <f t="shared" si="99"/>
        <v>2016</v>
      </c>
      <c r="D1035" s="35" t="s">
        <v>276</v>
      </c>
      <c r="E1035" s="227">
        <v>42675</v>
      </c>
      <c r="F1035" s="156">
        <v>507927.54</v>
      </c>
      <c r="G1035" s="131">
        <f t="shared" si="100"/>
        <v>91020.615167999989</v>
      </c>
      <c r="H1035" s="156">
        <v>102860.85</v>
      </c>
      <c r="I1035" s="156">
        <v>0</v>
      </c>
      <c r="J1035" s="156">
        <v>0</v>
      </c>
      <c r="K1035" s="131">
        <f t="shared" si="101"/>
        <v>102860.85</v>
      </c>
      <c r="L1035" s="134">
        <v>0.1792</v>
      </c>
    </row>
    <row r="1036" spans="3:12">
      <c r="C1036" s="161">
        <f t="shared" si="99"/>
        <v>2016</v>
      </c>
      <c r="D1036" s="35" t="s">
        <v>276</v>
      </c>
      <c r="E1036" s="227">
        <v>42705</v>
      </c>
      <c r="F1036" s="156">
        <v>495262.86</v>
      </c>
      <c r="G1036" s="131">
        <f t="shared" si="100"/>
        <v>88751.104511999991</v>
      </c>
      <c r="H1036" s="156">
        <v>9926.02</v>
      </c>
      <c r="I1036" s="156">
        <v>34.43</v>
      </c>
      <c r="J1036" s="156">
        <v>1240.2</v>
      </c>
      <c r="K1036" s="131">
        <f t="shared" si="101"/>
        <v>11200.650000000001</v>
      </c>
      <c r="L1036" s="134">
        <v>0.1792</v>
      </c>
    </row>
    <row r="1037" spans="3:12">
      <c r="C1037" s="161">
        <f t="shared" si="99"/>
        <v>2017</v>
      </c>
      <c r="D1037" s="35" t="s">
        <v>276</v>
      </c>
      <c r="E1037" s="227">
        <v>42736</v>
      </c>
      <c r="F1037" s="156">
        <v>514539.86</v>
      </c>
      <c r="G1037" s="131">
        <f t="shared" si="100"/>
        <v>92205.54291199999</v>
      </c>
      <c r="H1037" s="156">
        <v>37328.42</v>
      </c>
      <c r="I1037" s="156">
        <v>0</v>
      </c>
      <c r="J1037" s="156">
        <v>3928.81</v>
      </c>
      <c r="K1037" s="131">
        <f t="shared" si="101"/>
        <v>41257.229999999996</v>
      </c>
      <c r="L1037" s="134">
        <v>0.1792</v>
      </c>
    </row>
    <row r="1038" spans="3:12">
      <c r="C1038" s="161">
        <f t="shared" si="99"/>
        <v>2017</v>
      </c>
      <c r="D1038" s="35" t="s">
        <v>276</v>
      </c>
      <c r="E1038" s="227">
        <v>42767</v>
      </c>
      <c r="F1038" s="156">
        <v>493808.69</v>
      </c>
      <c r="G1038" s="131">
        <f t="shared" si="100"/>
        <v>88490.517248000004</v>
      </c>
      <c r="H1038" s="156">
        <v>996.47</v>
      </c>
      <c r="I1038" s="156">
        <v>2751.22</v>
      </c>
      <c r="J1038" s="156">
        <v>0</v>
      </c>
      <c r="K1038" s="131">
        <f t="shared" si="101"/>
        <v>3747.6899999999996</v>
      </c>
      <c r="L1038" s="134">
        <v>0.1792</v>
      </c>
    </row>
    <row r="1039" spans="3:12">
      <c r="C1039" s="161">
        <f t="shared" si="99"/>
        <v>2017</v>
      </c>
      <c r="D1039" s="35" t="s">
        <v>276</v>
      </c>
      <c r="E1039" s="227">
        <v>42795</v>
      </c>
      <c r="F1039" s="156">
        <v>472823.42</v>
      </c>
      <c r="G1039" s="131">
        <f t="shared" si="100"/>
        <v>84729.956863999992</v>
      </c>
      <c r="H1039" s="156">
        <v>148819.01999999999</v>
      </c>
      <c r="I1039" s="156">
        <v>331.83</v>
      </c>
      <c r="J1039" s="156">
        <v>895.2</v>
      </c>
      <c r="K1039" s="131">
        <f t="shared" si="101"/>
        <v>150046.04999999999</v>
      </c>
      <c r="L1039" s="134">
        <v>0.1792</v>
      </c>
    </row>
    <row r="1040" spans="3:12">
      <c r="C1040" s="161">
        <f t="shared" si="99"/>
        <v>2017</v>
      </c>
      <c r="D1040" s="35" t="s">
        <v>276</v>
      </c>
      <c r="E1040" s="227">
        <v>42826</v>
      </c>
      <c r="F1040" s="156">
        <v>466388.63</v>
      </c>
      <c r="G1040" s="131">
        <f t="shared" si="100"/>
        <v>83576.842495999997</v>
      </c>
      <c r="H1040" s="156">
        <v>54192.56</v>
      </c>
      <c r="I1040" s="156">
        <v>300.24</v>
      </c>
      <c r="J1040" s="156">
        <v>0</v>
      </c>
      <c r="K1040" s="131">
        <f t="shared" si="101"/>
        <v>54492.799999999996</v>
      </c>
      <c r="L1040" s="134">
        <v>0.1792</v>
      </c>
    </row>
    <row r="1041" spans="3:12">
      <c r="C1041" s="161">
        <f t="shared" si="99"/>
        <v>2017</v>
      </c>
      <c r="D1041" s="35" t="s">
        <v>276</v>
      </c>
      <c r="E1041" s="227">
        <v>42856</v>
      </c>
      <c r="F1041" s="156">
        <v>453304.35</v>
      </c>
      <c r="G1041" s="131">
        <f t="shared" si="100"/>
        <v>81232.139519999997</v>
      </c>
      <c r="H1041" s="156">
        <v>1738.06</v>
      </c>
      <c r="I1041" s="156">
        <v>0</v>
      </c>
      <c r="J1041" s="156">
        <v>0</v>
      </c>
      <c r="K1041" s="131">
        <f t="shared" si="101"/>
        <v>1738.06</v>
      </c>
      <c r="L1041" s="134">
        <v>0.1792</v>
      </c>
    </row>
    <row r="1042" spans="3:12">
      <c r="C1042" s="161">
        <f t="shared" si="99"/>
        <v>2017</v>
      </c>
      <c r="D1042" s="35" t="s">
        <v>276</v>
      </c>
      <c r="E1042" s="227">
        <v>42887</v>
      </c>
      <c r="F1042" s="156">
        <v>460414.37</v>
      </c>
      <c r="G1042" s="131">
        <f t="shared" si="100"/>
        <v>82506.255103999996</v>
      </c>
      <c r="H1042" s="156">
        <v>370927.99</v>
      </c>
      <c r="I1042" s="156">
        <v>0</v>
      </c>
      <c r="J1042" s="156">
        <v>0</v>
      </c>
      <c r="K1042" s="131">
        <f t="shared" si="101"/>
        <v>370927.99</v>
      </c>
      <c r="L1042" s="134">
        <v>0.1792</v>
      </c>
    </row>
    <row r="1043" spans="3:12">
      <c r="C1043" s="161">
        <f t="shared" si="99"/>
        <v>2017</v>
      </c>
      <c r="D1043" s="35" t="s">
        <v>276</v>
      </c>
      <c r="E1043" s="227">
        <v>42917</v>
      </c>
      <c r="F1043" s="156">
        <v>487827.42</v>
      </c>
      <c r="G1043" s="131">
        <f t="shared" si="100"/>
        <v>87418.673664000002</v>
      </c>
      <c r="H1043" s="156">
        <v>447783.96</v>
      </c>
      <c r="I1043" s="156">
        <v>0</v>
      </c>
      <c r="J1043" s="156">
        <v>0</v>
      </c>
      <c r="K1043" s="131">
        <f t="shared" si="101"/>
        <v>447783.96</v>
      </c>
      <c r="L1043" s="134">
        <v>0.1792</v>
      </c>
    </row>
    <row r="1044" spans="3:12">
      <c r="C1044" s="161">
        <f t="shared" si="99"/>
        <v>2017</v>
      </c>
      <c r="D1044" s="35" t="s">
        <v>276</v>
      </c>
      <c r="E1044" s="227">
        <v>42948</v>
      </c>
      <c r="F1044" s="156">
        <v>529134.82999999996</v>
      </c>
      <c r="G1044" s="131">
        <f t="shared" si="100"/>
        <v>94820.961535999988</v>
      </c>
      <c r="H1044" s="156">
        <v>2616.5700000000002</v>
      </c>
      <c r="I1044" s="156">
        <v>173.81</v>
      </c>
      <c r="J1044" s="156">
        <v>0</v>
      </c>
      <c r="K1044" s="131">
        <f t="shared" si="101"/>
        <v>2790.38</v>
      </c>
      <c r="L1044" s="134">
        <v>0.1792</v>
      </c>
    </row>
    <row r="1045" spans="3:12">
      <c r="C1045" s="161">
        <f t="shared" si="99"/>
        <v>2017</v>
      </c>
      <c r="D1045" s="35" t="s">
        <v>276</v>
      </c>
      <c r="E1045" s="227">
        <v>42979</v>
      </c>
      <c r="F1045" s="156">
        <v>543476.07999999996</v>
      </c>
      <c r="G1045" s="131">
        <f t="shared" si="100"/>
        <v>97390.913535999993</v>
      </c>
      <c r="H1045" s="156">
        <v>2661.67</v>
      </c>
      <c r="I1045" s="156">
        <v>84.15</v>
      </c>
      <c r="J1045" s="156">
        <v>0</v>
      </c>
      <c r="K1045" s="131">
        <f t="shared" si="101"/>
        <v>2745.82</v>
      </c>
      <c r="L1045" s="134">
        <v>0.1792</v>
      </c>
    </row>
    <row r="1046" spans="3:12">
      <c r="C1046" s="161">
        <f t="shared" si="99"/>
        <v>2017</v>
      </c>
      <c r="D1046" s="35" t="s">
        <v>276</v>
      </c>
      <c r="E1046" s="227">
        <v>43009</v>
      </c>
      <c r="F1046" s="156">
        <v>512788.36</v>
      </c>
      <c r="G1046" s="131">
        <f t="shared" si="100"/>
        <v>91891.674111999993</v>
      </c>
      <c r="H1046" s="156">
        <v>2568.38</v>
      </c>
      <c r="I1046" s="156">
        <v>127.98</v>
      </c>
      <c r="J1046" s="156">
        <v>0</v>
      </c>
      <c r="K1046" s="131">
        <f t="shared" si="101"/>
        <v>2696.36</v>
      </c>
      <c r="L1046" s="134">
        <v>0.1792</v>
      </c>
    </row>
    <row r="1047" spans="3:12">
      <c r="C1047" s="161">
        <f t="shared" si="99"/>
        <v>2017</v>
      </c>
      <c r="D1047" s="35" t="s">
        <v>276</v>
      </c>
      <c r="E1047" s="227">
        <v>43040</v>
      </c>
      <c r="F1047" s="156">
        <v>509397.35</v>
      </c>
      <c r="G1047" s="131">
        <f t="shared" si="100"/>
        <v>91284.005120000002</v>
      </c>
      <c r="H1047" s="156">
        <v>4486.53</v>
      </c>
      <c r="I1047" s="156">
        <v>0</v>
      </c>
      <c r="J1047" s="156">
        <v>138500</v>
      </c>
      <c r="K1047" s="131">
        <f t="shared" si="101"/>
        <v>142986.53</v>
      </c>
      <c r="L1047" s="134">
        <v>0.1792</v>
      </c>
    </row>
    <row r="1048" spans="3:12">
      <c r="C1048" s="161">
        <f t="shared" si="99"/>
        <v>2017</v>
      </c>
      <c r="D1048" s="35" t="s">
        <v>276</v>
      </c>
      <c r="E1048" s="227">
        <v>43070</v>
      </c>
      <c r="F1048" s="156">
        <v>524988.6</v>
      </c>
      <c r="G1048" s="131">
        <f t="shared" si="100"/>
        <v>94077.957119999992</v>
      </c>
      <c r="H1048" s="156">
        <v>1184.23</v>
      </c>
      <c r="I1048" s="156">
        <v>7110.8</v>
      </c>
      <c r="J1048" s="156">
        <v>16000</v>
      </c>
      <c r="K1048" s="131">
        <f t="shared" si="101"/>
        <v>24295.03</v>
      </c>
      <c r="L1048" s="134">
        <v>0.1792</v>
      </c>
    </row>
    <row r="1049" spans="3:12">
      <c r="C1049" s="161">
        <f t="shared" si="99"/>
        <v>2018</v>
      </c>
      <c r="D1049" s="35" t="s">
        <v>276</v>
      </c>
      <c r="E1049" s="227">
        <v>43101</v>
      </c>
      <c r="F1049" s="156">
        <v>512969.9</v>
      </c>
      <c r="G1049" s="131">
        <f t="shared" si="100"/>
        <v>91924.206080000004</v>
      </c>
      <c r="H1049" s="156">
        <v>1374.34</v>
      </c>
      <c r="I1049" s="156">
        <v>312.24</v>
      </c>
      <c r="J1049" s="156">
        <v>0</v>
      </c>
      <c r="K1049" s="131">
        <f t="shared" si="101"/>
        <v>1686.58</v>
      </c>
      <c r="L1049" s="134">
        <v>0.1792</v>
      </c>
    </row>
    <row r="1050" spans="3:12">
      <c r="C1050" s="161">
        <f t="shared" si="99"/>
        <v>2018</v>
      </c>
      <c r="D1050" s="35" t="s">
        <v>276</v>
      </c>
      <c r="E1050" s="227">
        <v>43132</v>
      </c>
      <c r="F1050" s="156">
        <v>530493.37</v>
      </c>
      <c r="G1050" s="131">
        <f t="shared" si="100"/>
        <v>95064.411903999993</v>
      </c>
      <c r="H1050" s="156">
        <v>1517.44</v>
      </c>
      <c r="I1050" s="156">
        <v>0</v>
      </c>
      <c r="J1050" s="156">
        <v>0</v>
      </c>
      <c r="K1050" s="131">
        <f t="shared" si="101"/>
        <v>1517.44</v>
      </c>
      <c r="L1050" s="134">
        <v>0.1792</v>
      </c>
    </row>
    <row r="1051" spans="3:12">
      <c r="C1051" s="161">
        <f t="shared" si="99"/>
        <v>2018</v>
      </c>
      <c r="D1051" s="35" t="s">
        <v>276</v>
      </c>
      <c r="E1051" s="227">
        <v>43160</v>
      </c>
      <c r="F1051" s="156">
        <v>482283.08</v>
      </c>
      <c r="G1051" s="131">
        <f t="shared" si="100"/>
        <v>86425.127936000004</v>
      </c>
      <c r="H1051" s="156">
        <v>5786.71</v>
      </c>
      <c r="I1051" s="156">
        <v>0</v>
      </c>
      <c r="J1051" s="156">
        <v>0</v>
      </c>
      <c r="K1051" s="131">
        <f t="shared" si="101"/>
        <v>5786.71</v>
      </c>
      <c r="L1051" s="134">
        <v>0.1792</v>
      </c>
    </row>
    <row r="1052" spans="3:12">
      <c r="C1052" s="161">
        <f t="shared" si="99"/>
        <v>2018</v>
      </c>
      <c r="D1052" s="35" t="s">
        <v>276</v>
      </c>
      <c r="E1052" s="227">
        <v>43191</v>
      </c>
      <c r="F1052" s="156">
        <v>512957.51</v>
      </c>
      <c r="G1052" s="131">
        <f t="shared" si="100"/>
        <v>91921.985792000007</v>
      </c>
      <c r="H1052" s="156">
        <v>2119.7199999999998</v>
      </c>
      <c r="I1052" s="156">
        <v>291.67</v>
      </c>
      <c r="J1052" s="156">
        <v>2169</v>
      </c>
      <c r="K1052" s="131">
        <f t="shared" si="101"/>
        <v>4580.3899999999994</v>
      </c>
      <c r="L1052" s="134">
        <v>0.1792</v>
      </c>
    </row>
    <row r="1053" spans="3:12">
      <c r="C1053" s="161">
        <f t="shared" si="99"/>
        <v>2018</v>
      </c>
      <c r="D1053" s="35" t="s">
        <v>276</v>
      </c>
      <c r="E1053" s="227">
        <v>43221</v>
      </c>
      <c r="F1053" s="156">
        <v>530806.27</v>
      </c>
      <c r="G1053" s="131">
        <f t="shared" si="100"/>
        <v>95120.483584000001</v>
      </c>
      <c r="H1053" s="156">
        <v>3476.78</v>
      </c>
      <c r="I1053" s="156">
        <v>571.91</v>
      </c>
      <c r="J1053" s="156">
        <v>160950.48000000001</v>
      </c>
      <c r="K1053" s="131">
        <f t="shared" si="101"/>
        <v>164999.17000000001</v>
      </c>
      <c r="L1053" s="134">
        <v>0.1792</v>
      </c>
    </row>
    <row r="1054" spans="3:12">
      <c r="C1054" s="161">
        <f t="shared" si="99"/>
        <v>2018</v>
      </c>
      <c r="D1054" s="35" t="s">
        <v>276</v>
      </c>
      <c r="E1054" s="227">
        <v>43252</v>
      </c>
      <c r="F1054" s="156">
        <v>484691.64</v>
      </c>
      <c r="G1054" s="131">
        <f t="shared" si="100"/>
        <v>86856.741888000004</v>
      </c>
      <c r="H1054" s="156">
        <v>1458.15</v>
      </c>
      <c r="I1054" s="156">
        <v>2017.79</v>
      </c>
      <c r="J1054" s="156">
        <v>1100</v>
      </c>
      <c r="K1054" s="131">
        <f t="shared" si="101"/>
        <v>4575.9400000000005</v>
      </c>
      <c r="L1054" s="134">
        <v>0.1792</v>
      </c>
    </row>
    <row r="1055" spans="3:12">
      <c r="C1055" s="161">
        <f t="shared" si="99"/>
        <v>2018</v>
      </c>
      <c r="D1055" s="35" t="s">
        <v>276</v>
      </c>
      <c r="E1055" s="227">
        <v>43282</v>
      </c>
      <c r="F1055" s="156">
        <v>508941.54</v>
      </c>
      <c r="G1055" s="131">
        <f t="shared" si="100"/>
        <v>91202.323967999997</v>
      </c>
      <c r="H1055" s="156">
        <v>1778.72</v>
      </c>
      <c r="I1055" s="156">
        <v>3030.37</v>
      </c>
      <c r="J1055" s="156">
        <v>1150</v>
      </c>
      <c r="K1055" s="131">
        <f t="shared" si="101"/>
        <v>5959.09</v>
      </c>
      <c r="L1055" s="134">
        <v>0.1792</v>
      </c>
    </row>
    <row r="1056" spans="3:12">
      <c r="C1056" s="161">
        <f t="shared" si="99"/>
        <v>2018</v>
      </c>
      <c r="D1056" s="35" t="s">
        <v>276</v>
      </c>
      <c r="E1056" s="227">
        <v>43313</v>
      </c>
      <c r="F1056" s="156">
        <v>507232.52</v>
      </c>
      <c r="G1056" s="131">
        <f t="shared" si="100"/>
        <v>90896.067584000004</v>
      </c>
      <c r="H1056" s="156">
        <v>816299.41</v>
      </c>
      <c r="I1056" s="156">
        <v>169.33</v>
      </c>
      <c r="J1056" s="156">
        <v>0</v>
      </c>
      <c r="K1056" s="131">
        <f t="shared" si="101"/>
        <v>816468.74</v>
      </c>
      <c r="L1056" s="134">
        <v>0.1792</v>
      </c>
    </row>
    <row r="1057" spans="3:12">
      <c r="C1057" s="161">
        <f t="shared" si="99"/>
        <v>2018</v>
      </c>
      <c r="D1057" s="35" t="s">
        <v>276</v>
      </c>
      <c r="E1057" s="227">
        <v>43344</v>
      </c>
      <c r="F1057" s="156">
        <v>515232.74</v>
      </c>
      <c r="G1057" s="131">
        <f t="shared" si="100"/>
        <v>92329.707007999998</v>
      </c>
      <c r="H1057" s="156">
        <v>1725</v>
      </c>
      <c r="I1057" s="156">
        <v>1425609.09</v>
      </c>
      <c r="J1057" s="156">
        <v>0</v>
      </c>
      <c r="K1057" s="131">
        <f t="shared" si="101"/>
        <v>1427334.09</v>
      </c>
      <c r="L1057" s="134">
        <v>0.1792</v>
      </c>
    </row>
    <row r="1058" spans="3:12">
      <c r="C1058" s="161">
        <f t="shared" si="99"/>
        <v>2018</v>
      </c>
      <c r="D1058" s="35" t="s">
        <v>276</v>
      </c>
      <c r="E1058" s="227">
        <v>43374</v>
      </c>
      <c r="F1058" s="156">
        <v>524347.30000000005</v>
      </c>
      <c r="G1058" s="131">
        <f t="shared" si="100"/>
        <v>93963.036160000003</v>
      </c>
      <c r="H1058" s="156">
        <v>176765.19</v>
      </c>
      <c r="I1058" s="156">
        <v>1144.1600000000001</v>
      </c>
      <c r="J1058" s="156">
        <v>472.09</v>
      </c>
      <c r="K1058" s="131">
        <f t="shared" si="101"/>
        <v>178381.44</v>
      </c>
      <c r="L1058" s="134">
        <v>0.1792</v>
      </c>
    </row>
    <row r="1059" spans="3:12">
      <c r="C1059" s="161">
        <f t="shared" si="99"/>
        <v>2018</v>
      </c>
      <c r="D1059" s="35" t="s">
        <v>276</v>
      </c>
      <c r="E1059" s="227">
        <v>43405</v>
      </c>
      <c r="F1059" s="156">
        <v>538745.46082499996</v>
      </c>
      <c r="G1059" s="131">
        <f t="shared" si="100"/>
        <v>96543.186579839996</v>
      </c>
      <c r="H1059" s="156">
        <v>6599.93</v>
      </c>
      <c r="I1059" s="156">
        <v>139.37</v>
      </c>
      <c r="J1059" s="156">
        <v>43222.5</v>
      </c>
      <c r="K1059" s="131">
        <f t="shared" si="101"/>
        <v>49961.8</v>
      </c>
      <c r="L1059" s="134">
        <v>0.1792</v>
      </c>
    </row>
    <row r="1060" spans="3:12">
      <c r="C1060" s="161">
        <f t="shared" si="99"/>
        <v>2018</v>
      </c>
      <c r="D1060" s="35" t="s">
        <v>276</v>
      </c>
      <c r="E1060" s="227">
        <v>43435</v>
      </c>
      <c r="F1060" s="156">
        <v>573374.43999999994</v>
      </c>
      <c r="G1060" s="131">
        <f t="shared" si="100"/>
        <v>102748.69964799999</v>
      </c>
      <c r="H1060" s="156">
        <v>1465.21</v>
      </c>
      <c r="I1060" s="156">
        <v>42820.75</v>
      </c>
      <c r="J1060" s="156">
        <v>0</v>
      </c>
      <c r="K1060" s="131">
        <f t="shared" si="101"/>
        <v>44285.96</v>
      </c>
      <c r="L1060" s="134">
        <v>0.1792</v>
      </c>
    </row>
    <row r="1061" spans="3:12">
      <c r="C1061" s="161">
        <f t="shared" si="99"/>
        <v>2019</v>
      </c>
      <c r="D1061" s="35" t="s">
        <v>276</v>
      </c>
      <c r="E1061" s="227">
        <v>43466</v>
      </c>
      <c r="F1061" s="156">
        <v>594965.49</v>
      </c>
      <c r="G1061" s="131">
        <f t="shared" si="100"/>
        <v>106617.815808</v>
      </c>
      <c r="H1061" s="156">
        <v>155198.64000000001</v>
      </c>
      <c r="I1061" s="156">
        <v>2874.29</v>
      </c>
      <c r="J1061" s="156">
        <v>0</v>
      </c>
      <c r="K1061" s="131">
        <f t="shared" si="101"/>
        <v>158072.93000000002</v>
      </c>
      <c r="L1061" s="134">
        <v>0.1792</v>
      </c>
    </row>
    <row r="1062" spans="3:12">
      <c r="C1062" s="161">
        <f t="shared" si="99"/>
        <v>2019</v>
      </c>
      <c r="D1062" s="35" t="s">
        <v>276</v>
      </c>
      <c r="E1062" s="227">
        <v>43497</v>
      </c>
      <c r="F1062" s="156">
        <v>561860.28</v>
      </c>
      <c r="G1062" s="131">
        <f t="shared" si="100"/>
        <v>100685.36217600001</v>
      </c>
      <c r="H1062" s="156">
        <v>1376</v>
      </c>
      <c r="I1062" s="156">
        <v>339428.85</v>
      </c>
      <c r="J1062" s="156">
        <v>0</v>
      </c>
      <c r="K1062" s="131">
        <f t="shared" si="101"/>
        <v>340804.85</v>
      </c>
      <c r="L1062" s="134">
        <v>0.1792</v>
      </c>
    </row>
    <row r="1063" spans="3:12">
      <c r="C1063" s="161">
        <f t="shared" si="99"/>
        <v>2019</v>
      </c>
      <c r="D1063" s="35" t="s">
        <v>276</v>
      </c>
      <c r="E1063" s="227">
        <v>43525</v>
      </c>
      <c r="F1063" s="156">
        <v>494677.24</v>
      </c>
      <c r="G1063" s="131">
        <f t="shared" si="100"/>
        <v>88646.161408</v>
      </c>
      <c r="H1063" s="156">
        <v>2357.5100000000002</v>
      </c>
      <c r="I1063" s="156">
        <v>2999.84</v>
      </c>
      <c r="J1063" s="156">
        <v>0</v>
      </c>
      <c r="K1063" s="131">
        <f t="shared" si="101"/>
        <v>5357.35</v>
      </c>
      <c r="L1063" s="134">
        <v>0.1792</v>
      </c>
    </row>
    <row r="1064" spans="3:12">
      <c r="C1064" s="161">
        <f t="shared" si="99"/>
        <v>2019</v>
      </c>
      <c r="D1064" s="35" t="s">
        <v>276</v>
      </c>
      <c r="E1064" s="227">
        <v>43556</v>
      </c>
      <c r="F1064" s="156">
        <v>531866.85</v>
      </c>
      <c r="G1064" s="131">
        <f t="shared" si="100"/>
        <v>95310.539519999991</v>
      </c>
      <c r="H1064" s="156">
        <v>211587.74</v>
      </c>
      <c r="I1064" s="156">
        <v>94868.56</v>
      </c>
      <c r="J1064" s="156">
        <v>0</v>
      </c>
      <c r="K1064" s="131">
        <f t="shared" si="101"/>
        <v>306456.3</v>
      </c>
      <c r="L1064" s="134">
        <v>0.1792</v>
      </c>
    </row>
    <row r="1065" spans="3:12">
      <c r="C1065" s="161">
        <f t="shared" si="99"/>
        <v>2019</v>
      </c>
      <c r="D1065" s="35" t="s">
        <v>276</v>
      </c>
      <c r="E1065" s="227">
        <v>43586</v>
      </c>
      <c r="F1065" s="156">
        <v>522060.08</v>
      </c>
      <c r="G1065" s="131">
        <f t="shared" si="100"/>
        <v>93553.166335999995</v>
      </c>
      <c r="H1065" s="156">
        <v>121663.1</v>
      </c>
      <c r="I1065" s="156">
        <v>46173.760000000002</v>
      </c>
      <c r="J1065" s="156">
        <v>0</v>
      </c>
      <c r="K1065" s="131">
        <f t="shared" si="101"/>
        <v>167836.86000000002</v>
      </c>
      <c r="L1065" s="134">
        <v>0.1792</v>
      </c>
    </row>
    <row r="1066" spans="3:12">
      <c r="C1066" s="161">
        <f t="shared" si="99"/>
        <v>2019</v>
      </c>
      <c r="D1066" s="35" t="s">
        <v>276</v>
      </c>
      <c r="E1066" s="227">
        <v>43617</v>
      </c>
      <c r="F1066" s="156">
        <v>525789.56000000006</v>
      </c>
      <c r="G1066" s="131">
        <f t="shared" si="100"/>
        <v>94221.489152000009</v>
      </c>
      <c r="H1066" s="156">
        <v>152742.18</v>
      </c>
      <c r="I1066" s="156">
        <v>148.44999999999999</v>
      </c>
      <c r="J1066" s="156">
        <v>0</v>
      </c>
      <c r="K1066" s="131">
        <f t="shared" si="101"/>
        <v>152890.63</v>
      </c>
      <c r="L1066" s="134">
        <v>0.1792</v>
      </c>
    </row>
    <row r="1067" spans="3:12">
      <c r="C1067" s="161">
        <f t="shared" si="99"/>
        <v>2019</v>
      </c>
      <c r="D1067" s="35" t="s">
        <v>276</v>
      </c>
      <c r="E1067" s="227">
        <v>43647</v>
      </c>
      <c r="F1067" s="156">
        <v>536361.68999999994</v>
      </c>
      <c r="G1067" s="131">
        <f t="shared" si="100"/>
        <v>96116.014847999992</v>
      </c>
      <c r="H1067" s="156">
        <v>278103.71000000002</v>
      </c>
      <c r="I1067" s="156">
        <v>25667.200000000001</v>
      </c>
      <c r="J1067" s="156">
        <v>0</v>
      </c>
      <c r="K1067" s="131">
        <f t="shared" si="101"/>
        <v>303770.91000000003</v>
      </c>
      <c r="L1067" s="134">
        <v>0.1792</v>
      </c>
    </row>
    <row r="1068" spans="3:12">
      <c r="C1068" s="161">
        <f t="shared" si="99"/>
        <v>2019</v>
      </c>
      <c r="D1068" s="35" t="s">
        <v>276</v>
      </c>
      <c r="E1068" s="227">
        <v>43678</v>
      </c>
      <c r="F1068" s="156">
        <v>567968.13</v>
      </c>
      <c r="G1068" s="131">
        <f t="shared" si="100"/>
        <v>101779.888896</v>
      </c>
      <c r="H1068" s="156">
        <v>59052.45</v>
      </c>
      <c r="I1068" s="156">
        <v>0</v>
      </c>
      <c r="J1068" s="156">
        <v>0</v>
      </c>
      <c r="K1068" s="131">
        <f t="shared" si="101"/>
        <v>59052.45</v>
      </c>
      <c r="L1068" s="134">
        <v>0.1792</v>
      </c>
    </row>
    <row r="1069" spans="3:12">
      <c r="C1069" s="161">
        <f t="shared" si="99"/>
        <v>2019</v>
      </c>
      <c r="D1069" s="35" t="s">
        <v>276</v>
      </c>
      <c r="E1069" s="227">
        <v>43709</v>
      </c>
      <c r="F1069" s="156">
        <v>607502.80000000005</v>
      </c>
      <c r="G1069" s="131">
        <f t="shared" si="100"/>
        <v>108864.50176000001</v>
      </c>
      <c r="H1069" s="156">
        <v>70609.77</v>
      </c>
      <c r="I1069" s="156">
        <v>48115.55</v>
      </c>
      <c r="J1069" s="156">
        <v>0</v>
      </c>
      <c r="K1069" s="131">
        <f t="shared" si="101"/>
        <v>118725.32</v>
      </c>
      <c r="L1069" s="134">
        <v>0.1792</v>
      </c>
    </row>
    <row r="1070" spans="3:12">
      <c r="C1070" s="161">
        <f t="shared" si="99"/>
        <v>2019</v>
      </c>
      <c r="D1070" s="35" t="s">
        <v>276</v>
      </c>
      <c r="E1070" s="227">
        <v>43739</v>
      </c>
      <c r="F1070" s="156">
        <v>623647.86</v>
      </c>
      <c r="G1070" s="131">
        <f t="shared" si="100"/>
        <v>111757.69651199999</v>
      </c>
      <c r="H1070" s="156">
        <v>231464.92</v>
      </c>
      <c r="I1070" s="156">
        <v>550.53</v>
      </c>
      <c r="J1070" s="156">
        <v>0</v>
      </c>
      <c r="K1070" s="131">
        <f t="shared" si="101"/>
        <v>232015.45</v>
      </c>
      <c r="L1070" s="134">
        <v>0.1792</v>
      </c>
    </row>
    <row r="1071" spans="3:12">
      <c r="C1071" s="161">
        <f t="shared" si="99"/>
        <v>2019</v>
      </c>
      <c r="D1071" s="35" t="s">
        <v>276</v>
      </c>
      <c r="E1071" s="227">
        <v>43770</v>
      </c>
      <c r="F1071" s="156">
        <v>638019.02</v>
      </c>
      <c r="G1071" s="131">
        <f t="shared" si="100"/>
        <v>114333.008384</v>
      </c>
      <c r="H1071" s="156">
        <v>91079.13</v>
      </c>
      <c r="I1071" s="156">
        <v>18894.2</v>
      </c>
      <c r="J1071" s="156">
        <v>0</v>
      </c>
      <c r="K1071" s="131">
        <f t="shared" si="101"/>
        <v>109973.33</v>
      </c>
      <c r="L1071" s="134">
        <v>0.1792</v>
      </c>
    </row>
    <row r="1072" spans="3:12">
      <c r="C1072" s="161">
        <f t="shared" si="99"/>
        <v>2019</v>
      </c>
      <c r="D1072" s="35" t="s">
        <v>276</v>
      </c>
      <c r="E1072" s="227">
        <v>43800</v>
      </c>
      <c r="F1072" s="156">
        <v>606619.34</v>
      </c>
      <c r="G1072" s="131">
        <f t="shared" si="100"/>
        <v>108706.185728</v>
      </c>
      <c r="H1072" s="156">
        <v>1779.9</v>
      </c>
      <c r="I1072" s="156">
        <v>5404.85</v>
      </c>
      <c r="J1072" s="156">
        <v>0</v>
      </c>
      <c r="K1072" s="131">
        <f t="shared" si="101"/>
        <v>7184.75</v>
      </c>
      <c r="L1072" s="134">
        <v>0.1792</v>
      </c>
    </row>
    <row r="1073" spans="3:12">
      <c r="C1073" s="161">
        <f t="shared" si="99"/>
        <v>2020</v>
      </c>
      <c r="D1073" s="35" t="s">
        <v>276</v>
      </c>
      <c r="E1073" s="227">
        <v>43831</v>
      </c>
      <c r="F1073" s="156">
        <v>601394.97</v>
      </c>
      <c r="G1073" s="131">
        <f t="shared" si="100"/>
        <v>107769.978624</v>
      </c>
      <c r="H1073" s="156">
        <v>18058.990000000002</v>
      </c>
      <c r="I1073" s="156">
        <v>4193.91</v>
      </c>
      <c r="J1073" s="156">
        <v>0</v>
      </c>
      <c r="K1073" s="131">
        <f t="shared" si="101"/>
        <v>22252.9</v>
      </c>
      <c r="L1073" s="134">
        <v>0.1792</v>
      </c>
    </row>
    <row r="1074" spans="3:12">
      <c r="C1074" s="161">
        <f t="shared" si="99"/>
        <v>2020</v>
      </c>
      <c r="D1074" s="35" t="s">
        <v>276</v>
      </c>
      <c r="E1074" s="227">
        <v>43862</v>
      </c>
      <c r="F1074" s="156">
        <v>595487.80000000005</v>
      </c>
      <c r="G1074" s="131">
        <f t="shared" si="100"/>
        <v>106711.41376000001</v>
      </c>
      <c r="H1074" s="156">
        <v>16484.28</v>
      </c>
      <c r="I1074" s="156">
        <v>5494.37</v>
      </c>
      <c r="J1074" s="156">
        <v>0</v>
      </c>
      <c r="K1074" s="131">
        <f t="shared" si="101"/>
        <v>21978.649999999998</v>
      </c>
      <c r="L1074" s="134">
        <v>0.1792</v>
      </c>
    </row>
    <row r="1075" spans="3:12">
      <c r="C1075" s="161">
        <f t="shared" si="99"/>
        <v>2020</v>
      </c>
      <c r="D1075" s="35" t="s">
        <v>276</v>
      </c>
      <c r="E1075" s="227">
        <v>43891</v>
      </c>
      <c r="F1075" s="156">
        <v>590025.19125000003</v>
      </c>
      <c r="G1075" s="131">
        <f t="shared" si="100"/>
        <v>105732.514272</v>
      </c>
      <c r="H1075" s="156">
        <v>16560.849999999999</v>
      </c>
      <c r="I1075" s="156">
        <v>1953.28</v>
      </c>
      <c r="J1075" s="156">
        <v>0</v>
      </c>
      <c r="K1075" s="131">
        <f t="shared" si="101"/>
        <v>18514.129999999997</v>
      </c>
      <c r="L1075" s="134">
        <v>0.1792</v>
      </c>
    </row>
    <row r="1076" spans="3:12">
      <c r="C1076" s="161">
        <f t="shared" si="99"/>
        <v>2020</v>
      </c>
      <c r="D1076" s="35" t="s">
        <v>276</v>
      </c>
      <c r="E1076" s="227">
        <v>43922</v>
      </c>
      <c r="F1076" s="156">
        <v>603869.43952500005</v>
      </c>
      <c r="G1076" s="131">
        <f t="shared" si="100"/>
        <v>108213.40356288</v>
      </c>
      <c r="H1076" s="156">
        <v>1860.45</v>
      </c>
      <c r="I1076" s="156">
        <v>1702.3</v>
      </c>
      <c r="J1076" s="156">
        <v>0</v>
      </c>
      <c r="K1076" s="131">
        <f t="shared" si="101"/>
        <v>3562.75</v>
      </c>
      <c r="L1076" s="134">
        <v>0.1792</v>
      </c>
    </row>
    <row r="1077" spans="3:12">
      <c r="C1077" s="161">
        <f t="shared" si="99"/>
        <v>2020</v>
      </c>
      <c r="D1077" s="35" t="s">
        <v>276</v>
      </c>
      <c r="E1077" s="227">
        <v>43952</v>
      </c>
      <c r="F1077" s="156">
        <v>577449.65</v>
      </c>
      <c r="G1077" s="131">
        <f t="shared" si="100"/>
        <v>103478.97728000001</v>
      </c>
      <c r="H1077" s="156">
        <v>2044.12</v>
      </c>
      <c r="I1077" s="156">
        <v>101370.82</v>
      </c>
      <c r="J1077" s="156">
        <v>0</v>
      </c>
      <c r="K1077" s="131">
        <f t="shared" si="101"/>
        <v>103414.94</v>
      </c>
      <c r="L1077" s="134">
        <v>0.1792</v>
      </c>
    </row>
    <row r="1078" spans="3:12">
      <c r="C1078" s="161">
        <f t="shared" si="99"/>
        <v>2020</v>
      </c>
      <c r="D1078" s="35" t="s">
        <v>276</v>
      </c>
      <c r="E1078" s="227">
        <v>43983</v>
      </c>
      <c r="F1078" s="156">
        <v>555306.93999999994</v>
      </c>
      <c r="G1078" s="131">
        <f t="shared" si="100"/>
        <v>99511.003647999984</v>
      </c>
      <c r="H1078" s="156">
        <v>-39729.1</v>
      </c>
      <c r="I1078" s="156">
        <v>29191.54</v>
      </c>
      <c r="J1078" s="156">
        <v>0</v>
      </c>
      <c r="K1078" s="131">
        <f t="shared" si="101"/>
        <v>-10537.559999999998</v>
      </c>
      <c r="L1078" s="134">
        <v>0.1792</v>
      </c>
    </row>
    <row r="1079" spans="3:12">
      <c r="C1079" s="161">
        <f t="shared" si="99"/>
        <v>2020</v>
      </c>
      <c r="D1079" s="35" t="s">
        <v>276</v>
      </c>
      <c r="E1079" s="227">
        <v>44013</v>
      </c>
      <c r="F1079" s="156">
        <v>571085.75</v>
      </c>
      <c r="G1079" s="131">
        <f t="shared" si="100"/>
        <v>102338.5664</v>
      </c>
      <c r="H1079" s="156">
        <v>4955.76</v>
      </c>
      <c r="I1079" s="156">
        <v>4566.25</v>
      </c>
      <c r="J1079" s="156">
        <v>0</v>
      </c>
      <c r="K1079" s="131">
        <f t="shared" si="101"/>
        <v>9522.01</v>
      </c>
      <c r="L1079" s="134">
        <v>0.1792</v>
      </c>
    </row>
    <row r="1080" spans="3:12">
      <c r="C1080" s="161">
        <f t="shared" si="99"/>
        <v>2020</v>
      </c>
      <c r="D1080" s="35" t="s">
        <v>276</v>
      </c>
      <c r="E1080" s="227">
        <v>44044</v>
      </c>
      <c r="F1080" s="156">
        <v>742757.45</v>
      </c>
      <c r="G1080" s="131">
        <f t="shared" si="100"/>
        <v>133102.13503999999</v>
      </c>
      <c r="H1080" s="156">
        <v>3348.71</v>
      </c>
      <c r="I1080" s="156">
        <v>3091.62</v>
      </c>
      <c r="J1080" s="156">
        <v>0</v>
      </c>
      <c r="K1080" s="131">
        <f t="shared" si="101"/>
        <v>6440.33</v>
      </c>
      <c r="L1080" s="134">
        <v>0.1792</v>
      </c>
    </row>
    <row r="1081" spans="3:12">
      <c r="C1081" s="161">
        <f t="shared" si="99"/>
        <v>2020</v>
      </c>
      <c r="D1081" s="35" t="s">
        <v>276</v>
      </c>
      <c r="E1081" s="227">
        <v>44075</v>
      </c>
      <c r="F1081" s="156">
        <v>628860.67000000004</v>
      </c>
      <c r="G1081" s="131">
        <f t="shared" si="100"/>
        <v>112691.832064</v>
      </c>
      <c r="H1081" s="156">
        <v>3849.89</v>
      </c>
      <c r="I1081" s="156">
        <v>24005.1</v>
      </c>
      <c r="J1081" s="156">
        <v>0</v>
      </c>
      <c r="K1081" s="131">
        <f t="shared" si="101"/>
        <v>27854.989999999998</v>
      </c>
      <c r="L1081" s="134">
        <v>0.1792</v>
      </c>
    </row>
    <row r="1082" spans="3:12">
      <c r="C1082" s="161">
        <f t="shared" si="99"/>
        <v>2020</v>
      </c>
      <c r="D1082" s="35" t="s">
        <v>276</v>
      </c>
      <c r="E1082" s="227">
        <v>44105</v>
      </c>
      <c r="F1082" s="156">
        <v>708291.24</v>
      </c>
      <c r="G1082" s="131">
        <f t="shared" si="100"/>
        <v>126925.79020799999</v>
      </c>
      <c r="H1082" s="156">
        <v>1915.44</v>
      </c>
      <c r="I1082" s="156">
        <v>10642.63</v>
      </c>
      <c r="J1082" s="156">
        <v>0</v>
      </c>
      <c r="K1082" s="131">
        <f t="shared" si="101"/>
        <v>12558.07</v>
      </c>
      <c r="L1082" s="134">
        <v>0.1792</v>
      </c>
    </row>
    <row r="1083" spans="3:12">
      <c r="C1083" s="161">
        <f t="shared" si="99"/>
        <v>2020</v>
      </c>
      <c r="D1083" s="35" t="s">
        <v>276</v>
      </c>
      <c r="E1083" s="227">
        <v>44136</v>
      </c>
      <c r="F1083" s="156">
        <v>493334.77</v>
      </c>
      <c r="G1083" s="131">
        <f t="shared" si="100"/>
        <v>88405.590784</v>
      </c>
      <c r="H1083" s="156">
        <v>4053.88</v>
      </c>
      <c r="I1083" s="156">
        <v>5297.16</v>
      </c>
      <c r="J1083" s="156">
        <v>0</v>
      </c>
      <c r="K1083" s="131">
        <f t="shared" si="101"/>
        <v>9351.0400000000009</v>
      </c>
      <c r="L1083" s="134">
        <v>0.1792</v>
      </c>
    </row>
    <row r="1084" spans="3:12">
      <c r="C1084" s="161">
        <f t="shared" si="99"/>
        <v>2020</v>
      </c>
      <c r="D1084" s="35" t="s">
        <v>276</v>
      </c>
      <c r="E1084" s="227">
        <v>44166</v>
      </c>
      <c r="F1084" s="156">
        <v>639921.15</v>
      </c>
      <c r="G1084" s="131">
        <f t="shared" si="100"/>
        <v>114673.87008000001</v>
      </c>
      <c r="H1084" s="156">
        <v>2086.88</v>
      </c>
      <c r="I1084" s="156">
        <v>639.12</v>
      </c>
      <c r="J1084" s="156">
        <v>223.34</v>
      </c>
      <c r="K1084" s="131">
        <f t="shared" si="101"/>
        <v>2949.34</v>
      </c>
      <c r="L1084" s="134">
        <v>0.1792</v>
      </c>
    </row>
    <row r="1085" spans="3:12">
      <c r="C1085" s="161">
        <f t="shared" si="99"/>
        <v>2021</v>
      </c>
      <c r="D1085" s="35" t="s">
        <v>276</v>
      </c>
      <c r="E1085" s="227">
        <v>44197</v>
      </c>
      <c r="F1085" s="156">
        <v>654643.1</v>
      </c>
      <c r="G1085" s="131">
        <f t="shared" si="100"/>
        <v>117312.04351999999</v>
      </c>
      <c r="H1085" s="156">
        <v>1691.32</v>
      </c>
      <c r="I1085" s="156">
        <v>3375.13</v>
      </c>
      <c r="J1085" s="156">
        <v>0</v>
      </c>
      <c r="K1085" s="131">
        <f t="shared" si="101"/>
        <v>5066.45</v>
      </c>
      <c r="L1085" s="134">
        <v>0.1792</v>
      </c>
    </row>
    <row r="1086" spans="3:12">
      <c r="C1086" s="161">
        <f t="shared" si="99"/>
        <v>2021</v>
      </c>
      <c r="D1086" s="35" t="s">
        <v>276</v>
      </c>
      <c r="E1086" s="227">
        <v>44229</v>
      </c>
      <c r="F1086" s="156">
        <v>605076.21</v>
      </c>
      <c r="G1086" s="131">
        <f t="shared" si="100"/>
        <v>108429.65683199999</v>
      </c>
      <c r="H1086" s="156">
        <v>1834.48</v>
      </c>
      <c r="I1086" s="156">
        <v>392.52</v>
      </c>
      <c r="J1086" s="156">
        <v>0</v>
      </c>
      <c r="K1086" s="131">
        <f t="shared" si="101"/>
        <v>2227</v>
      </c>
      <c r="L1086" s="134">
        <v>0.1792</v>
      </c>
    </row>
    <row r="1087" spans="3:12">
      <c r="C1087" s="161">
        <f t="shared" si="99"/>
        <v>2021</v>
      </c>
      <c r="D1087" s="35" t="s">
        <v>276</v>
      </c>
      <c r="E1087" s="227">
        <v>44258</v>
      </c>
      <c r="F1087" s="156">
        <v>601653.44999999995</v>
      </c>
      <c r="G1087" s="131">
        <f t="shared" si="100"/>
        <v>107816.29823999999</v>
      </c>
      <c r="H1087" s="156">
        <v>3014.4</v>
      </c>
      <c r="I1087" s="156">
        <v>1245.55</v>
      </c>
      <c r="J1087" s="156">
        <v>0</v>
      </c>
      <c r="K1087" s="131">
        <f t="shared" si="101"/>
        <v>4259.95</v>
      </c>
      <c r="L1087" s="134">
        <v>0.1792</v>
      </c>
    </row>
    <row r="1088" spans="3:12">
      <c r="C1088" s="161">
        <f t="shared" si="99"/>
        <v>2021</v>
      </c>
      <c r="D1088" s="35" t="s">
        <v>276</v>
      </c>
      <c r="E1088" s="227">
        <v>44290</v>
      </c>
      <c r="F1088" s="156">
        <v>662340.07999999996</v>
      </c>
      <c r="G1088" s="131">
        <f t="shared" si="100"/>
        <v>118691.34233599999</v>
      </c>
      <c r="H1088" s="156">
        <v>10885.07</v>
      </c>
      <c r="I1088" s="156">
        <v>2752.04</v>
      </c>
      <c r="J1088" s="156">
        <v>0</v>
      </c>
      <c r="K1088" s="131">
        <f t="shared" si="101"/>
        <v>13637.11</v>
      </c>
      <c r="L1088" s="134">
        <v>0.1792</v>
      </c>
    </row>
    <row r="1089" spans="3:12">
      <c r="C1089" s="161">
        <f t="shared" si="99"/>
        <v>2021</v>
      </c>
      <c r="D1089" s="35" t="s">
        <v>276</v>
      </c>
      <c r="E1089" s="227">
        <v>44321</v>
      </c>
      <c r="F1089" s="156">
        <v>591208.54</v>
      </c>
      <c r="G1089" s="131">
        <f t="shared" si="100"/>
        <v>105944.570368</v>
      </c>
      <c r="H1089" s="156">
        <v>7641.42</v>
      </c>
      <c r="I1089" s="156">
        <v>295.39999999999998</v>
      </c>
      <c r="J1089" s="156">
        <v>0</v>
      </c>
      <c r="K1089" s="131">
        <f t="shared" si="101"/>
        <v>7936.82</v>
      </c>
      <c r="L1089" s="134">
        <v>0.1792</v>
      </c>
    </row>
    <row r="1090" spans="3:12">
      <c r="C1090" s="161">
        <f t="shared" si="99"/>
        <v>2021</v>
      </c>
      <c r="D1090" s="35" t="s">
        <v>276</v>
      </c>
      <c r="E1090" s="227">
        <v>44353</v>
      </c>
      <c r="F1090" s="156">
        <v>587838.32999999996</v>
      </c>
      <c r="G1090" s="131">
        <f t="shared" si="100"/>
        <v>105340.62873599998</v>
      </c>
      <c r="H1090" s="156">
        <v>2661.74</v>
      </c>
      <c r="I1090" s="156">
        <v>295.39999999999998</v>
      </c>
      <c r="J1090" s="156">
        <v>0</v>
      </c>
      <c r="K1090" s="131">
        <f t="shared" si="101"/>
        <v>2957.14</v>
      </c>
      <c r="L1090" s="134">
        <v>0.1792</v>
      </c>
    </row>
    <row r="1091" spans="3:12">
      <c r="C1091" s="161">
        <f t="shared" si="99"/>
        <v>2015</v>
      </c>
      <c r="D1091" s="35" t="s">
        <v>277</v>
      </c>
      <c r="E1091" s="227">
        <v>42309</v>
      </c>
      <c r="F1091" s="156">
        <v>368159.89</v>
      </c>
      <c r="G1091" s="131">
        <f t="shared" si="100"/>
        <v>65974.252288000003</v>
      </c>
      <c r="H1091" s="156">
        <v>26573.35</v>
      </c>
      <c r="I1091" s="156">
        <v>4584.92</v>
      </c>
      <c r="J1091" s="156">
        <v>0</v>
      </c>
      <c r="K1091" s="131">
        <f t="shared" si="101"/>
        <v>31158.269999999997</v>
      </c>
      <c r="L1091" s="134">
        <v>0.1792</v>
      </c>
    </row>
    <row r="1092" spans="3:12">
      <c r="C1092" s="161">
        <f t="shared" ref="C1092:C1155" si="102">YEAR(E1092)</f>
        <v>2015</v>
      </c>
      <c r="D1092" s="35" t="s">
        <v>277</v>
      </c>
      <c r="E1092" s="227">
        <v>42339</v>
      </c>
      <c r="F1092" s="156">
        <v>346464.33</v>
      </c>
      <c r="G1092" s="131">
        <f t="shared" ref="G1092:G1155" si="103">F1092*L1092</f>
        <v>62086.407936000003</v>
      </c>
      <c r="H1092" s="156">
        <v>2025.94</v>
      </c>
      <c r="I1092" s="156">
        <v>0</v>
      </c>
      <c r="J1092" s="156">
        <v>0</v>
      </c>
      <c r="K1092" s="131">
        <f t="shared" ref="K1092:K1155" si="104">SUM(H1092:J1092)</f>
        <v>2025.94</v>
      </c>
      <c r="L1092" s="134">
        <v>0.1792</v>
      </c>
    </row>
    <row r="1093" spans="3:12">
      <c r="C1093" s="161">
        <f t="shared" si="102"/>
        <v>2016</v>
      </c>
      <c r="D1093" s="35" t="s">
        <v>277</v>
      </c>
      <c r="E1093" s="227">
        <v>42370</v>
      </c>
      <c r="F1093" s="156">
        <v>349759.23</v>
      </c>
      <c r="G1093" s="131">
        <f t="shared" si="103"/>
        <v>62676.854015999998</v>
      </c>
      <c r="H1093" s="156">
        <v>22632.29</v>
      </c>
      <c r="I1093" s="156">
        <v>2644.74</v>
      </c>
      <c r="J1093" s="156">
        <v>0</v>
      </c>
      <c r="K1093" s="131">
        <f t="shared" si="104"/>
        <v>25277.03</v>
      </c>
      <c r="L1093" s="134">
        <v>0.1792</v>
      </c>
    </row>
    <row r="1094" spans="3:12">
      <c r="C1094" s="161">
        <f t="shared" si="102"/>
        <v>2016</v>
      </c>
      <c r="D1094" s="35" t="s">
        <v>277</v>
      </c>
      <c r="E1094" s="227">
        <v>42401</v>
      </c>
      <c r="F1094" s="156">
        <v>355220.88</v>
      </c>
      <c r="G1094" s="131">
        <f t="shared" si="103"/>
        <v>63655.581696000001</v>
      </c>
      <c r="H1094" s="156">
        <v>36312.19</v>
      </c>
      <c r="I1094" s="156">
        <v>1647.45</v>
      </c>
      <c r="J1094" s="156">
        <v>0</v>
      </c>
      <c r="K1094" s="131">
        <f t="shared" si="104"/>
        <v>37959.64</v>
      </c>
      <c r="L1094" s="134">
        <v>0.1792</v>
      </c>
    </row>
    <row r="1095" spans="3:12">
      <c r="C1095" s="161">
        <f t="shared" si="102"/>
        <v>2016</v>
      </c>
      <c r="D1095" s="35" t="s">
        <v>277</v>
      </c>
      <c r="E1095" s="227">
        <v>42430</v>
      </c>
      <c r="F1095" s="156">
        <v>335688.5</v>
      </c>
      <c r="G1095" s="131">
        <f t="shared" si="103"/>
        <v>60155.379199999996</v>
      </c>
      <c r="H1095" s="156">
        <v>4321.2700000000004</v>
      </c>
      <c r="I1095" s="156">
        <v>10735.36</v>
      </c>
      <c r="J1095" s="156">
        <v>247.48</v>
      </c>
      <c r="K1095" s="131">
        <f t="shared" si="104"/>
        <v>15304.11</v>
      </c>
      <c r="L1095" s="134">
        <v>0.1792</v>
      </c>
    </row>
    <row r="1096" spans="3:12">
      <c r="C1096" s="161">
        <f t="shared" si="102"/>
        <v>2016</v>
      </c>
      <c r="D1096" s="35" t="s">
        <v>277</v>
      </c>
      <c r="E1096" s="227">
        <v>42461</v>
      </c>
      <c r="F1096" s="156">
        <v>377035.11</v>
      </c>
      <c r="G1096" s="131">
        <f t="shared" si="103"/>
        <v>67564.691712</v>
      </c>
      <c r="H1096" s="156">
        <v>11359.62</v>
      </c>
      <c r="I1096" s="156">
        <v>8991.44</v>
      </c>
      <c r="J1096" s="156">
        <v>0</v>
      </c>
      <c r="K1096" s="131">
        <f t="shared" si="104"/>
        <v>20351.060000000001</v>
      </c>
      <c r="L1096" s="134">
        <v>0.1792</v>
      </c>
    </row>
    <row r="1097" spans="3:12">
      <c r="C1097" s="161">
        <f t="shared" si="102"/>
        <v>2016</v>
      </c>
      <c r="D1097" s="35" t="s">
        <v>277</v>
      </c>
      <c r="E1097" s="227">
        <v>42491</v>
      </c>
      <c r="F1097" s="156">
        <v>365784.65</v>
      </c>
      <c r="G1097" s="131">
        <f t="shared" si="103"/>
        <v>65548.609280000004</v>
      </c>
      <c r="H1097" s="156">
        <v>1038.79</v>
      </c>
      <c r="I1097" s="156">
        <v>6922.06</v>
      </c>
      <c r="J1097" s="156">
        <v>683.83</v>
      </c>
      <c r="K1097" s="131">
        <f t="shared" si="104"/>
        <v>8644.68</v>
      </c>
      <c r="L1097" s="134">
        <v>0.1792</v>
      </c>
    </row>
    <row r="1098" spans="3:12">
      <c r="C1098" s="161">
        <f t="shared" si="102"/>
        <v>2016</v>
      </c>
      <c r="D1098" s="35" t="s">
        <v>277</v>
      </c>
      <c r="E1098" s="227">
        <v>42522</v>
      </c>
      <c r="F1098" s="156">
        <v>358707.53</v>
      </c>
      <c r="G1098" s="131">
        <f t="shared" si="103"/>
        <v>64280.389376000006</v>
      </c>
      <c r="H1098" s="156">
        <v>29154.3</v>
      </c>
      <c r="I1098" s="156">
        <v>4963.0200000000004</v>
      </c>
      <c r="J1098" s="156">
        <v>9973.35</v>
      </c>
      <c r="K1098" s="131">
        <f t="shared" si="104"/>
        <v>44090.67</v>
      </c>
      <c r="L1098" s="134">
        <v>0.1792</v>
      </c>
    </row>
    <row r="1099" spans="3:12">
      <c r="C1099" s="161">
        <f t="shared" si="102"/>
        <v>2016</v>
      </c>
      <c r="D1099" s="35" t="s">
        <v>277</v>
      </c>
      <c r="E1099" s="227">
        <v>42552</v>
      </c>
      <c r="F1099" s="156">
        <v>377679.59</v>
      </c>
      <c r="G1099" s="131">
        <f t="shared" si="103"/>
        <v>67680.182528000005</v>
      </c>
      <c r="H1099" s="156">
        <v>1174.55</v>
      </c>
      <c r="I1099" s="156">
        <v>5471.8</v>
      </c>
      <c r="J1099" s="156">
        <v>0</v>
      </c>
      <c r="K1099" s="131">
        <f t="shared" si="104"/>
        <v>6646.35</v>
      </c>
      <c r="L1099" s="134">
        <v>0.1792</v>
      </c>
    </row>
    <row r="1100" spans="3:12">
      <c r="C1100" s="161">
        <f t="shared" si="102"/>
        <v>2016</v>
      </c>
      <c r="D1100" s="35" t="s">
        <v>277</v>
      </c>
      <c r="E1100" s="227">
        <v>42583</v>
      </c>
      <c r="F1100" s="156">
        <v>413379.93</v>
      </c>
      <c r="G1100" s="131">
        <f t="shared" si="103"/>
        <v>74077.683455999999</v>
      </c>
      <c r="H1100" s="156">
        <v>1056.3900000000001</v>
      </c>
      <c r="I1100" s="156">
        <v>3153.73</v>
      </c>
      <c r="J1100" s="156">
        <v>0</v>
      </c>
      <c r="K1100" s="131">
        <f t="shared" si="104"/>
        <v>4210.12</v>
      </c>
      <c r="L1100" s="134">
        <v>0.1792</v>
      </c>
    </row>
    <row r="1101" spans="3:12">
      <c r="C1101" s="161">
        <f t="shared" si="102"/>
        <v>2016</v>
      </c>
      <c r="D1101" s="35" t="s">
        <v>277</v>
      </c>
      <c r="E1101" s="227">
        <v>42614</v>
      </c>
      <c r="F1101" s="156">
        <v>384809.78</v>
      </c>
      <c r="G1101" s="131">
        <f t="shared" si="103"/>
        <v>68957.912576000002</v>
      </c>
      <c r="H1101" s="156">
        <v>435</v>
      </c>
      <c r="I1101" s="156">
        <v>2504.9499999999998</v>
      </c>
      <c r="J1101" s="156">
        <v>0</v>
      </c>
      <c r="K1101" s="131">
        <f t="shared" si="104"/>
        <v>2939.95</v>
      </c>
      <c r="L1101" s="134">
        <v>0.1792</v>
      </c>
    </row>
    <row r="1102" spans="3:12">
      <c r="C1102" s="161">
        <f t="shared" si="102"/>
        <v>2016</v>
      </c>
      <c r="D1102" s="35" t="s">
        <v>277</v>
      </c>
      <c r="E1102" s="227">
        <v>42644</v>
      </c>
      <c r="F1102" s="156">
        <v>400301.96</v>
      </c>
      <c r="G1102" s="131">
        <f t="shared" si="103"/>
        <v>71734.11123200001</v>
      </c>
      <c r="H1102" s="156">
        <v>9947.74</v>
      </c>
      <c r="I1102" s="156">
        <v>1379.2</v>
      </c>
      <c r="J1102" s="156">
        <v>498.75</v>
      </c>
      <c r="K1102" s="131">
        <f t="shared" si="104"/>
        <v>11825.69</v>
      </c>
      <c r="L1102" s="134">
        <v>0.1792</v>
      </c>
    </row>
    <row r="1103" spans="3:12">
      <c r="C1103" s="161">
        <f t="shared" si="102"/>
        <v>2016</v>
      </c>
      <c r="D1103" s="35" t="s">
        <v>277</v>
      </c>
      <c r="E1103" s="227">
        <v>42675</v>
      </c>
      <c r="F1103" s="156">
        <v>405495.58</v>
      </c>
      <c r="G1103" s="131">
        <f t="shared" si="103"/>
        <v>72664.807935999997</v>
      </c>
      <c r="H1103" s="156">
        <v>33404.46</v>
      </c>
      <c r="I1103" s="156">
        <v>2151.8000000000002</v>
      </c>
      <c r="J1103" s="156">
        <v>695.66</v>
      </c>
      <c r="K1103" s="131">
        <f t="shared" si="104"/>
        <v>36251.920000000006</v>
      </c>
      <c r="L1103" s="134">
        <v>0.1792</v>
      </c>
    </row>
    <row r="1104" spans="3:12">
      <c r="C1104" s="161">
        <f t="shared" si="102"/>
        <v>2016</v>
      </c>
      <c r="D1104" s="35" t="s">
        <v>277</v>
      </c>
      <c r="E1104" s="227">
        <v>42705</v>
      </c>
      <c r="F1104" s="156">
        <v>383457.94</v>
      </c>
      <c r="G1104" s="131">
        <f t="shared" si="103"/>
        <v>68715.662847999993</v>
      </c>
      <c r="H1104" s="156">
        <v>49690.879999999997</v>
      </c>
      <c r="I1104" s="156">
        <v>1163.4000000000001</v>
      </c>
      <c r="J1104" s="156">
        <v>0</v>
      </c>
      <c r="K1104" s="131">
        <f t="shared" si="104"/>
        <v>50854.28</v>
      </c>
      <c r="L1104" s="134">
        <v>0.1792</v>
      </c>
    </row>
    <row r="1105" spans="3:12">
      <c r="C1105" s="161">
        <f t="shared" si="102"/>
        <v>2017</v>
      </c>
      <c r="D1105" s="35" t="s">
        <v>277</v>
      </c>
      <c r="E1105" s="227">
        <v>42736</v>
      </c>
      <c r="F1105" s="156">
        <v>388313.47</v>
      </c>
      <c r="G1105" s="131">
        <f t="shared" si="103"/>
        <v>69585.773823999989</v>
      </c>
      <c r="H1105" s="156">
        <v>24468.01</v>
      </c>
      <c r="I1105" s="156">
        <v>15036.93</v>
      </c>
      <c r="J1105" s="156">
        <v>3216.81</v>
      </c>
      <c r="K1105" s="131">
        <f t="shared" si="104"/>
        <v>42721.75</v>
      </c>
      <c r="L1105" s="134">
        <v>0.1792</v>
      </c>
    </row>
    <row r="1106" spans="3:12">
      <c r="C1106" s="161">
        <f t="shared" si="102"/>
        <v>2017</v>
      </c>
      <c r="D1106" s="35" t="s">
        <v>277</v>
      </c>
      <c r="E1106" s="227">
        <v>42767</v>
      </c>
      <c r="F1106" s="156">
        <v>383405.78</v>
      </c>
      <c r="G1106" s="131">
        <f t="shared" si="103"/>
        <v>68706.315776000003</v>
      </c>
      <c r="H1106" s="156">
        <v>106.33</v>
      </c>
      <c r="I1106" s="156">
        <v>19598.509999999998</v>
      </c>
      <c r="J1106" s="156">
        <v>0</v>
      </c>
      <c r="K1106" s="131">
        <f t="shared" si="104"/>
        <v>19704.84</v>
      </c>
      <c r="L1106" s="134">
        <v>0.1792</v>
      </c>
    </row>
    <row r="1107" spans="3:12">
      <c r="C1107" s="161">
        <f t="shared" si="102"/>
        <v>2017</v>
      </c>
      <c r="D1107" s="35" t="s">
        <v>277</v>
      </c>
      <c r="E1107" s="227">
        <v>42795</v>
      </c>
      <c r="F1107" s="156">
        <v>357172.5</v>
      </c>
      <c r="G1107" s="131">
        <f t="shared" si="103"/>
        <v>64005.311999999998</v>
      </c>
      <c r="H1107" s="156">
        <v>1145.9000000000001</v>
      </c>
      <c r="I1107" s="156">
        <v>128.4</v>
      </c>
      <c r="J1107" s="156">
        <v>825</v>
      </c>
      <c r="K1107" s="131">
        <f t="shared" si="104"/>
        <v>2099.3000000000002</v>
      </c>
      <c r="L1107" s="134">
        <v>0.1792</v>
      </c>
    </row>
    <row r="1108" spans="3:12">
      <c r="C1108" s="161">
        <f t="shared" si="102"/>
        <v>2017</v>
      </c>
      <c r="D1108" s="35" t="s">
        <v>277</v>
      </c>
      <c r="E1108" s="227">
        <v>42826</v>
      </c>
      <c r="F1108" s="156">
        <v>394431.73</v>
      </c>
      <c r="G1108" s="131">
        <f t="shared" si="103"/>
        <v>70682.166016000003</v>
      </c>
      <c r="H1108" s="156">
        <v>292669.21999999997</v>
      </c>
      <c r="I1108" s="156">
        <v>0</v>
      </c>
      <c r="J1108" s="156">
        <v>0</v>
      </c>
      <c r="K1108" s="131">
        <f t="shared" si="104"/>
        <v>292669.21999999997</v>
      </c>
      <c r="L1108" s="134">
        <v>0.1792</v>
      </c>
    </row>
    <row r="1109" spans="3:12">
      <c r="C1109" s="161">
        <f t="shared" si="102"/>
        <v>2017</v>
      </c>
      <c r="D1109" s="35" t="s">
        <v>277</v>
      </c>
      <c r="E1109" s="227">
        <v>42856</v>
      </c>
      <c r="F1109" s="156">
        <v>371666.2</v>
      </c>
      <c r="G1109" s="131">
        <f t="shared" si="103"/>
        <v>66602.583039999998</v>
      </c>
      <c r="H1109" s="156">
        <v>3513.07</v>
      </c>
      <c r="I1109" s="156">
        <v>0</v>
      </c>
      <c r="J1109" s="156">
        <v>0</v>
      </c>
      <c r="K1109" s="131">
        <f t="shared" si="104"/>
        <v>3513.07</v>
      </c>
      <c r="L1109" s="134">
        <v>0.1792</v>
      </c>
    </row>
    <row r="1110" spans="3:12">
      <c r="C1110" s="161">
        <f t="shared" si="102"/>
        <v>2017</v>
      </c>
      <c r="D1110" s="35" t="s">
        <v>277</v>
      </c>
      <c r="E1110" s="227">
        <v>42887</v>
      </c>
      <c r="F1110" s="156">
        <v>377600.5</v>
      </c>
      <c r="G1110" s="131">
        <f t="shared" si="103"/>
        <v>67666.009600000005</v>
      </c>
      <c r="H1110" s="156">
        <v>3697.07</v>
      </c>
      <c r="I1110" s="156">
        <v>4709.57</v>
      </c>
      <c r="J1110" s="156">
        <v>0</v>
      </c>
      <c r="K1110" s="131">
        <f t="shared" si="104"/>
        <v>8406.64</v>
      </c>
      <c r="L1110" s="134">
        <v>0.1792</v>
      </c>
    </row>
    <row r="1111" spans="3:12">
      <c r="C1111" s="161">
        <f t="shared" si="102"/>
        <v>2017</v>
      </c>
      <c r="D1111" s="35" t="s">
        <v>277</v>
      </c>
      <c r="E1111" s="227">
        <v>42917</v>
      </c>
      <c r="F1111" s="156">
        <v>404111.86</v>
      </c>
      <c r="G1111" s="131">
        <f t="shared" si="103"/>
        <v>72416.84531199999</v>
      </c>
      <c r="H1111" s="156">
        <v>2329.85</v>
      </c>
      <c r="I1111" s="156">
        <v>0</v>
      </c>
      <c r="J1111" s="156">
        <v>35693.49</v>
      </c>
      <c r="K1111" s="131">
        <f t="shared" si="104"/>
        <v>38023.339999999997</v>
      </c>
      <c r="L1111" s="134">
        <v>0.1792</v>
      </c>
    </row>
    <row r="1112" spans="3:12">
      <c r="C1112" s="161">
        <f t="shared" si="102"/>
        <v>2017</v>
      </c>
      <c r="D1112" s="35" t="s">
        <v>277</v>
      </c>
      <c r="E1112" s="227">
        <v>42948</v>
      </c>
      <c r="F1112" s="156">
        <v>417175.06</v>
      </c>
      <c r="G1112" s="131">
        <f t="shared" si="103"/>
        <v>74757.770751999997</v>
      </c>
      <c r="H1112" s="156">
        <v>14760.93</v>
      </c>
      <c r="I1112" s="156">
        <v>4099.59</v>
      </c>
      <c r="J1112" s="156">
        <v>0</v>
      </c>
      <c r="K1112" s="131">
        <f t="shared" si="104"/>
        <v>18860.52</v>
      </c>
      <c r="L1112" s="134">
        <v>0.1792</v>
      </c>
    </row>
    <row r="1113" spans="3:12">
      <c r="C1113" s="161">
        <f t="shared" si="102"/>
        <v>2017</v>
      </c>
      <c r="D1113" s="35" t="s">
        <v>277</v>
      </c>
      <c r="E1113" s="227">
        <v>42979</v>
      </c>
      <c r="F1113" s="156">
        <v>439262.17</v>
      </c>
      <c r="G1113" s="131">
        <f t="shared" si="103"/>
        <v>78715.780864</v>
      </c>
      <c r="H1113" s="156">
        <v>6834.23</v>
      </c>
      <c r="I1113" s="156">
        <v>1905.2</v>
      </c>
      <c r="J1113" s="156">
        <v>316.64999999999998</v>
      </c>
      <c r="K1113" s="131">
        <f t="shared" si="104"/>
        <v>9056.08</v>
      </c>
      <c r="L1113" s="134">
        <v>0.1792</v>
      </c>
    </row>
    <row r="1114" spans="3:12">
      <c r="C1114" s="161">
        <f t="shared" si="102"/>
        <v>2017</v>
      </c>
      <c r="D1114" s="35" t="s">
        <v>277</v>
      </c>
      <c r="E1114" s="227">
        <v>43009</v>
      </c>
      <c r="F1114" s="156">
        <v>420804.72</v>
      </c>
      <c r="G1114" s="131">
        <f t="shared" si="103"/>
        <v>75408.20582399999</v>
      </c>
      <c r="H1114" s="156">
        <v>307.52</v>
      </c>
      <c r="I1114" s="156">
        <v>3247.24</v>
      </c>
      <c r="J1114" s="156">
        <v>0</v>
      </c>
      <c r="K1114" s="131">
        <f t="shared" si="104"/>
        <v>3554.7599999999998</v>
      </c>
      <c r="L1114" s="134">
        <v>0.1792</v>
      </c>
    </row>
    <row r="1115" spans="3:12">
      <c r="C1115" s="161">
        <f t="shared" si="102"/>
        <v>2017</v>
      </c>
      <c r="D1115" s="35" t="s">
        <v>277</v>
      </c>
      <c r="E1115" s="227">
        <v>43040</v>
      </c>
      <c r="F1115" s="156">
        <v>416135.36</v>
      </c>
      <c r="G1115" s="131">
        <f t="shared" si="103"/>
        <v>74571.45651199999</v>
      </c>
      <c r="H1115" s="156">
        <v>5902.02</v>
      </c>
      <c r="I1115" s="156">
        <v>37348.019999999997</v>
      </c>
      <c r="J1115" s="156">
        <v>138500</v>
      </c>
      <c r="K1115" s="131">
        <f t="shared" si="104"/>
        <v>181750.03999999998</v>
      </c>
      <c r="L1115" s="134">
        <v>0.1792</v>
      </c>
    </row>
    <row r="1116" spans="3:12">
      <c r="C1116" s="161">
        <f t="shared" si="102"/>
        <v>2017</v>
      </c>
      <c r="D1116" s="35" t="s">
        <v>277</v>
      </c>
      <c r="E1116" s="227">
        <v>43070</v>
      </c>
      <c r="F1116" s="156">
        <v>411539.5</v>
      </c>
      <c r="G1116" s="131">
        <f t="shared" si="103"/>
        <v>73747.878400000001</v>
      </c>
      <c r="H1116" s="156">
        <v>1156.51</v>
      </c>
      <c r="I1116" s="156">
        <v>0</v>
      </c>
      <c r="J1116" s="156">
        <v>16000</v>
      </c>
      <c r="K1116" s="131">
        <f t="shared" si="104"/>
        <v>17156.509999999998</v>
      </c>
      <c r="L1116" s="134">
        <v>0.1792</v>
      </c>
    </row>
    <row r="1117" spans="3:12">
      <c r="C1117" s="161">
        <f t="shared" si="102"/>
        <v>2018</v>
      </c>
      <c r="D1117" s="35" t="s">
        <v>277</v>
      </c>
      <c r="E1117" s="227">
        <v>43101</v>
      </c>
      <c r="F1117" s="156">
        <v>403860.02</v>
      </c>
      <c r="G1117" s="131">
        <f t="shared" si="103"/>
        <v>72371.715584000005</v>
      </c>
      <c r="H1117" s="156">
        <v>657.17</v>
      </c>
      <c r="I1117" s="156">
        <v>2319.11</v>
      </c>
      <c r="J1117" s="156">
        <v>0</v>
      </c>
      <c r="K1117" s="131">
        <f t="shared" si="104"/>
        <v>2976.28</v>
      </c>
      <c r="L1117" s="134">
        <v>0.1792</v>
      </c>
    </row>
    <row r="1118" spans="3:12">
      <c r="C1118" s="161">
        <f t="shared" si="102"/>
        <v>2018</v>
      </c>
      <c r="D1118" s="35" t="s">
        <v>277</v>
      </c>
      <c r="E1118" s="227">
        <v>43132</v>
      </c>
      <c r="F1118" s="156">
        <v>415384.35</v>
      </c>
      <c r="G1118" s="131">
        <f t="shared" si="103"/>
        <v>74436.875520000001</v>
      </c>
      <c r="H1118" s="156">
        <v>983.31</v>
      </c>
      <c r="I1118" s="156">
        <v>1743.17</v>
      </c>
      <c r="J1118" s="156">
        <v>393.11</v>
      </c>
      <c r="K1118" s="131">
        <f t="shared" si="104"/>
        <v>3119.59</v>
      </c>
      <c r="L1118" s="134">
        <v>0.1792</v>
      </c>
    </row>
    <row r="1119" spans="3:12">
      <c r="C1119" s="161">
        <f t="shared" si="102"/>
        <v>2018</v>
      </c>
      <c r="D1119" s="35" t="s">
        <v>277</v>
      </c>
      <c r="E1119" s="227">
        <v>43160</v>
      </c>
      <c r="F1119" s="156">
        <v>391025.72</v>
      </c>
      <c r="G1119" s="131">
        <f t="shared" si="103"/>
        <v>70071.809023999987</v>
      </c>
      <c r="H1119" s="156">
        <v>-24796.49</v>
      </c>
      <c r="I1119" s="156">
        <v>0</v>
      </c>
      <c r="J1119" s="156">
        <v>0</v>
      </c>
      <c r="K1119" s="131">
        <f t="shared" si="104"/>
        <v>-24796.49</v>
      </c>
      <c r="L1119" s="134">
        <v>0.1792</v>
      </c>
    </row>
    <row r="1120" spans="3:12">
      <c r="C1120" s="161">
        <f t="shared" si="102"/>
        <v>2018</v>
      </c>
      <c r="D1120" s="35" t="s">
        <v>277</v>
      </c>
      <c r="E1120" s="227">
        <v>43191</v>
      </c>
      <c r="F1120" s="156">
        <v>434115.44</v>
      </c>
      <c r="G1120" s="131">
        <f t="shared" si="103"/>
        <v>77793.486848</v>
      </c>
      <c r="H1120" s="156">
        <v>1377.65</v>
      </c>
      <c r="I1120" s="156">
        <v>3623.59</v>
      </c>
      <c r="J1120" s="156">
        <v>0</v>
      </c>
      <c r="K1120" s="131">
        <f t="shared" si="104"/>
        <v>5001.24</v>
      </c>
      <c r="L1120" s="134">
        <v>0.1792</v>
      </c>
    </row>
    <row r="1121" spans="3:12">
      <c r="C1121" s="161">
        <f t="shared" si="102"/>
        <v>2018</v>
      </c>
      <c r="D1121" s="35" t="s">
        <v>277</v>
      </c>
      <c r="E1121" s="227">
        <v>43221</v>
      </c>
      <c r="F1121" s="156">
        <v>406536.31</v>
      </c>
      <c r="G1121" s="131">
        <f t="shared" si="103"/>
        <v>72851.306752000004</v>
      </c>
      <c r="H1121" s="156">
        <v>8907.32</v>
      </c>
      <c r="I1121" s="156">
        <v>2530.38</v>
      </c>
      <c r="J1121" s="156">
        <v>0</v>
      </c>
      <c r="K1121" s="131">
        <f t="shared" si="104"/>
        <v>11437.7</v>
      </c>
      <c r="L1121" s="134">
        <v>0.1792</v>
      </c>
    </row>
    <row r="1122" spans="3:12">
      <c r="C1122" s="161">
        <f t="shared" si="102"/>
        <v>2018</v>
      </c>
      <c r="D1122" s="35" t="s">
        <v>277</v>
      </c>
      <c r="E1122" s="227">
        <v>43252</v>
      </c>
      <c r="F1122" s="156">
        <v>416093.17</v>
      </c>
      <c r="G1122" s="131">
        <f t="shared" si="103"/>
        <v>74563.896064</v>
      </c>
      <c r="H1122" s="156">
        <v>2727.83</v>
      </c>
      <c r="I1122" s="156">
        <v>1888.44</v>
      </c>
      <c r="J1122" s="156">
        <v>0</v>
      </c>
      <c r="K1122" s="131">
        <f t="shared" si="104"/>
        <v>4616.2700000000004</v>
      </c>
      <c r="L1122" s="134">
        <v>0.1792</v>
      </c>
    </row>
    <row r="1123" spans="3:12">
      <c r="C1123" s="161">
        <f t="shared" si="102"/>
        <v>2018</v>
      </c>
      <c r="D1123" s="35" t="s">
        <v>277</v>
      </c>
      <c r="E1123" s="227">
        <v>43282</v>
      </c>
      <c r="F1123" s="156">
        <v>429181.46</v>
      </c>
      <c r="G1123" s="131">
        <f t="shared" si="103"/>
        <v>76909.317632000006</v>
      </c>
      <c r="H1123" s="156">
        <v>2980.72</v>
      </c>
      <c r="I1123" s="156">
        <v>1865.69</v>
      </c>
      <c r="J1123" s="156">
        <v>412.5</v>
      </c>
      <c r="K1123" s="131">
        <f t="shared" si="104"/>
        <v>5258.91</v>
      </c>
      <c r="L1123" s="134">
        <v>0.1792</v>
      </c>
    </row>
    <row r="1124" spans="3:12">
      <c r="C1124" s="161">
        <f t="shared" si="102"/>
        <v>2018</v>
      </c>
      <c r="D1124" s="35" t="s">
        <v>277</v>
      </c>
      <c r="E1124" s="227">
        <v>43313</v>
      </c>
      <c r="F1124" s="156">
        <v>444241.28</v>
      </c>
      <c r="G1124" s="131">
        <f t="shared" si="103"/>
        <v>79608.037376000007</v>
      </c>
      <c r="H1124" s="156">
        <v>6182.2</v>
      </c>
      <c r="I1124" s="156">
        <v>2719.37</v>
      </c>
      <c r="J1124" s="156">
        <v>0</v>
      </c>
      <c r="K1124" s="131">
        <f t="shared" si="104"/>
        <v>8901.57</v>
      </c>
      <c r="L1124" s="134">
        <v>0.1792</v>
      </c>
    </row>
    <row r="1125" spans="3:12">
      <c r="C1125" s="161">
        <f t="shared" si="102"/>
        <v>2018</v>
      </c>
      <c r="D1125" s="35" t="s">
        <v>277</v>
      </c>
      <c r="E1125" s="227">
        <v>43344</v>
      </c>
      <c r="F1125" s="156">
        <v>453708.42</v>
      </c>
      <c r="G1125" s="131">
        <f t="shared" si="103"/>
        <v>81304.548863999997</v>
      </c>
      <c r="H1125" s="156">
        <v>884.74</v>
      </c>
      <c r="I1125" s="156">
        <v>2202.56</v>
      </c>
      <c r="J1125" s="156">
        <v>0</v>
      </c>
      <c r="K1125" s="131">
        <f t="shared" si="104"/>
        <v>3087.3</v>
      </c>
      <c r="L1125" s="134">
        <v>0.1792</v>
      </c>
    </row>
    <row r="1126" spans="3:12">
      <c r="C1126" s="161">
        <f t="shared" si="102"/>
        <v>2018</v>
      </c>
      <c r="D1126" s="35" t="s">
        <v>277</v>
      </c>
      <c r="E1126" s="227">
        <v>43374</v>
      </c>
      <c r="F1126" s="156">
        <v>417612.01</v>
      </c>
      <c r="G1126" s="131">
        <f t="shared" si="103"/>
        <v>74836.072192000007</v>
      </c>
      <c r="H1126" s="156">
        <v>260.97000000000003</v>
      </c>
      <c r="I1126" s="156">
        <v>48130.3</v>
      </c>
      <c r="J1126" s="156">
        <v>0</v>
      </c>
      <c r="K1126" s="131">
        <f t="shared" si="104"/>
        <v>48391.270000000004</v>
      </c>
      <c r="L1126" s="134">
        <v>0.1792</v>
      </c>
    </row>
    <row r="1127" spans="3:12">
      <c r="C1127" s="161">
        <f t="shared" si="102"/>
        <v>2018</v>
      </c>
      <c r="D1127" s="35" t="s">
        <v>277</v>
      </c>
      <c r="E1127" s="227">
        <v>43405</v>
      </c>
      <c r="F1127" s="156">
        <v>432158.04307499999</v>
      </c>
      <c r="G1127" s="131">
        <f t="shared" si="103"/>
        <v>77442.721319039993</v>
      </c>
      <c r="H1127" s="156">
        <v>16209.28</v>
      </c>
      <c r="I1127" s="156">
        <v>0</v>
      </c>
      <c r="J1127" s="156">
        <v>0</v>
      </c>
      <c r="K1127" s="131">
        <f t="shared" si="104"/>
        <v>16209.28</v>
      </c>
      <c r="L1127" s="134">
        <v>0.1792</v>
      </c>
    </row>
    <row r="1128" spans="3:12">
      <c r="C1128" s="161">
        <f t="shared" si="102"/>
        <v>2018</v>
      </c>
      <c r="D1128" s="35" t="s">
        <v>277</v>
      </c>
      <c r="E1128" s="227">
        <v>43435</v>
      </c>
      <c r="F1128" s="156">
        <v>426529.69</v>
      </c>
      <c r="G1128" s="131">
        <f t="shared" si="103"/>
        <v>76434.120448000001</v>
      </c>
      <c r="H1128" s="156">
        <v>0</v>
      </c>
      <c r="I1128" s="156">
        <v>0</v>
      </c>
      <c r="J1128" s="156">
        <v>0</v>
      </c>
      <c r="K1128" s="131">
        <f t="shared" si="104"/>
        <v>0</v>
      </c>
      <c r="L1128" s="134">
        <v>0.1792</v>
      </c>
    </row>
    <row r="1129" spans="3:12">
      <c r="C1129" s="161">
        <f t="shared" si="102"/>
        <v>2019</v>
      </c>
      <c r="D1129" s="35" t="s">
        <v>277</v>
      </c>
      <c r="E1129" s="227">
        <v>43466</v>
      </c>
      <c r="F1129" s="156">
        <v>410916.69</v>
      </c>
      <c r="G1129" s="131">
        <f t="shared" si="103"/>
        <v>73636.270848</v>
      </c>
      <c r="H1129" s="156">
        <v>5513.5</v>
      </c>
      <c r="I1129" s="156">
        <v>0</v>
      </c>
      <c r="J1129" s="156">
        <v>0</v>
      </c>
      <c r="K1129" s="131">
        <f t="shared" si="104"/>
        <v>5513.5</v>
      </c>
      <c r="L1129" s="134">
        <v>0.1792</v>
      </c>
    </row>
    <row r="1130" spans="3:12">
      <c r="C1130" s="161">
        <f t="shared" si="102"/>
        <v>2019</v>
      </c>
      <c r="D1130" s="35" t="s">
        <v>277</v>
      </c>
      <c r="E1130" s="227">
        <v>43497</v>
      </c>
      <c r="F1130" s="156">
        <v>418430.08</v>
      </c>
      <c r="G1130" s="131">
        <f t="shared" si="103"/>
        <v>74982.670335999996</v>
      </c>
      <c r="H1130" s="156">
        <v>1711.8</v>
      </c>
      <c r="I1130" s="156">
        <v>7736.6</v>
      </c>
      <c r="J1130" s="156">
        <v>0</v>
      </c>
      <c r="K1130" s="131">
        <f t="shared" si="104"/>
        <v>9448.4</v>
      </c>
      <c r="L1130" s="134">
        <v>0.1792</v>
      </c>
    </row>
    <row r="1131" spans="3:12">
      <c r="C1131" s="161">
        <f t="shared" si="102"/>
        <v>2019</v>
      </c>
      <c r="D1131" s="35" t="s">
        <v>277</v>
      </c>
      <c r="E1131" s="227">
        <v>43525</v>
      </c>
      <c r="F1131" s="156">
        <v>389302.63</v>
      </c>
      <c r="G1131" s="131">
        <f t="shared" si="103"/>
        <v>69763.031296000001</v>
      </c>
      <c r="H1131" s="156">
        <v>4982.93</v>
      </c>
      <c r="I1131" s="156">
        <v>26993.96</v>
      </c>
      <c r="J1131" s="156">
        <v>0</v>
      </c>
      <c r="K1131" s="131">
        <f t="shared" si="104"/>
        <v>31976.89</v>
      </c>
      <c r="L1131" s="134">
        <v>0.1792</v>
      </c>
    </row>
    <row r="1132" spans="3:12">
      <c r="C1132" s="161">
        <f t="shared" si="102"/>
        <v>2019</v>
      </c>
      <c r="D1132" s="35" t="s">
        <v>277</v>
      </c>
      <c r="E1132" s="227">
        <v>43556</v>
      </c>
      <c r="F1132" s="156">
        <v>421686.63</v>
      </c>
      <c r="G1132" s="131">
        <f t="shared" si="103"/>
        <v>75566.244095999995</v>
      </c>
      <c r="H1132" s="156">
        <v>101911.21</v>
      </c>
      <c r="I1132" s="156">
        <v>1457.46</v>
      </c>
      <c r="J1132" s="156">
        <v>523.75</v>
      </c>
      <c r="K1132" s="131">
        <f t="shared" si="104"/>
        <v>103892.42000000001</v>
      </c>
      <c r="L1132" s="134">
        <v>0.1792</v>
      </c>
    </row>
    <row r="1133" spans="3:12">
      <c r="C1133" s="161">
        <f t="shared" si="102"/>
        <v>2019</v>
      </c>
      <c r="D1133" s="35" t="s">
        <v>277</v>
      </c>
      <c r="E1133" s="227">
        <v>43586</v>
      </c>
      <c r="F1133" s="156">
        <v>412084.52</v>
      </c>
      <c r="G1133" s="131">
        <f t="shared" si="103"/>
        <v>73845.545983999997</v>
      </c>
      <c r="H1133" s="156">
        <v>326086.81</v>
      </c>
      <c r="I1133" s="156">
        <v>13056.21</v>
      </c>
      <c r="J1133" s="156">
        <v>0</v>
      </c>
      <c r="K1133" s="131">
        <f t="shared" si="104"/>
        <v>339143.02</v>
      </c>
      <c r="L1133" s="134">
        <v>0.1792</v>
      </c>
    </row>
    <row r="1134" spans="3:12">
      <c r="C1134" s="161">
        <f t="shared" si="102"/>
        <v>2019</v>
      </c>
      <c r="D1134" s="35" t="s">
        <v>277</v>
      </c>
      <c r="E1134" s="227">
        <v>43617</v>
      </c>
      <c r="F1134" s="156">
        <v>412054.03</v>
      </c>
      <c r="G1134" s="131">
        <f t="shared" si="103"/>
        <v>73840.082176000011</v>
      </c>
      <c r="H1134" s="156">
        <v>70405.14</v>
      </c>
      <c r="I1134" s="156">
        <v>83540.73</v>
      </c>
      <c r="J1134" s="156">
        <v>0</v>
      </c>
      <c r="K1134" s="131">
        <f t="shared" si="104"/>
        <v>153945.87</v>
      </c>
      <c r="L1134" s="134">
        <v>0.1792</v>
      </c>
    </row>
    <row r="1135" spans="3:12">
      <c r="C1135" s="161">
        <f t="shared" si="102"/>
        <v>2019</v>
      </c>
      <c r="D1135" s="35" t="s">
        <v>277</v>
      </c>
      <c r="E1135" s="227">
        <v>43647</v>
      </c>
      <c r="F1135" s="156">
        <v>405842.04</v>
      </c>
      <c r="G1135" s="131">
        <f t="shared" si="103"/>
        <v>72726.893568</v>
      </c>
      <c r="H1135" s="156">
        <v>9244.2099999999991</v>
      </c>
      <c r="I1135" s="156">
        <v>887.83</v>
      </c>
      <c r="J1135" s="156">
        <v>0</v>
      </c>
      <c r="K1135" s="131">
        <f t="shared" si="104"/>
        <v>10132.039999999999</v>
      </c>
      <c r="L1135" s="134">
        <v>0.1792</v>
      </c>
    </row>
    <row r="1136" spans="3:12">
      <c r="C1136" s="161">
        <f t="shared" si="102"/>
        <v>2019</v>
      </c>
      <c r="D1136" s="35" t="s">
        <v>277</v>
      </c>
      <c r="E1136" s="227">
        <v>43678</v>
      </c>
      <c r="F1136" s="156">
        <v>458001.42</v>
      </c>
      <c r="G1136" s="131">
        <f t="shared" si="103"/>
        <v>82073.854463999989</v>
      </c>
      <c r="H1136" s="156">
        <v>42.37</v>
      </c>
      <c r="I1136" s="156">
        <v>1760.09</v>
      </c>
      <c r="J1136" s="156">
        <v>0</v>
      </c>
      <c r="K1136" s="131">
        <f t="shared" si="104"/>
        <v>1802.4599999999998</v>
      </c>
      <c r="L1136" s="134">
        <v>0.1792</v>
      </c>
    </row>
    <row r="1137" spans="3:12">
      <c r="C1137" s="161">
        <f t="shared" si="102"/>
        <v>2019</v>
      </c>
      <c r="D1137" s="35" t="s">
        <v>277</v>
      </c>
      <c r="E1137" s="227">
        <v>43709</v>
      </c>
      <c r="F1137" s="156">
        <v>488732.02</v>
      </c>
      <c r="G1137" s="131">
        <f t="shared" si="103"/>
        <v>87580.777984</v>
      </c>
      <c r="H1137" s="156">
        <v>180.27</v>
      </c>
      <c r="I1137" s="156">
        <v>1424.63</v>
      </c>
      <c r="J1137" s="156">
        <v>0</v>
      </c>
      <c r="K1137" s="131">
        <f t="shared" si="104"/>
        <v>1604.9</v>
      </c>
      <c r="L1137" s="134">
        <v>0.1792</v>
      </c>
    </row>
    <row r="1138" spans="3:12">
      <c r="C1138" s="161">
        <f t="shared" si="102"/>
        <v>2019</v>
      </c>
      <c r="D1138" s="35" t="s">
        <v>277</v>
      </c>
      <c r="E1138" s="227">
        <v>43739</v>
      </c>
      <c r="F1138" s="156">
        <v>470232.81</v>
      </c>
      <c r="G1138" s="131">
        <f t="shared" si="103"/>
        <v>84265.719551999995</v>
      </c>
      <c r="H1138" s="156">
        <v>4194.71</v>
      </c>
      <c r="I1138" s="156">
        <v>1640.37</v>
      </c>
      <c r="J1138" s="156">
        <v>0</v>
      </c>
      <c r="K1138" s="131">
        <f t="shared" si="104"/>
        <v>5835.08</v>
      </c>
      <c r="L1138" s="134">
        <v>0.1792</v>
      </c>
    </row>
    <row r="1139" spans="3:12">
      <c r="C1139" s="161">
        <f t="shared" si="102"/>
        <v>2019</v>
      </c>
      <c r="D1139" s="35" t="s">
        <v>277</v>
      </c>
      <c r="E1139" s="227">
        <v>43770</v>
      </c>
      <c r="F1139" s="156">
        <v>475221.39</v>
      </c>
      <c r="G1139" s="131">
        <f t="shared" si="103"/>
        <v>85159.673087999996</v>
      </c>
      <c r="H1139" s="156">
        <v>183.31</v>
      </c>
      <c r="I1139" s="156">
        <v>2982.54</v>
      </c>
      <c r="J1139" s="156">
        <v>0</v>
      </c>
      <c r="K1139" s="131">
        <f t="shared" si="104"/>
        <v>3165.85</v>
      </c>
      <c r="L1139" s="134">
        <v>0.1792</v>
      </c>
    </row>
    <row r="1140" spans="3:12">
      <c r="C1140" s="161">
        <f t="shared" si="102"/>
        <v>2019</v>
      </c>
      <c r="D1140" s="35" t="s">
        <v>277</v>
      </c>
      <c r="E1140" s="227">
        <v>43800</v>
      </c>
      <c r="F1140" s="156">
        <v>427585.79</v>
      </c>
      <c r="G1140" s="131">
        <f t="shared" si="103"/>
        <v>76623.373567999995</v>
      </c>
      <c r="H1140" s="156">
        <v>5431.86</v>
      </c>
      <c r="I1140" s="156">
        <v>955.4</v>
      </c>
      <c r="J1140" s="156">
        <v>0</v>
      </c>
      <c r="K1140" s="131">
        <f t="shared" si="104"/>
        <v>6387.2599999999993</v>
      </c>
      <c r="L1140" s="134">
        <v>0.1792</v>
      </c>
    </row>
    <row r="1141" spans="3:12">
      <c r="C1141" s="161">
        <f t="shared" si="102"/>
        <v>2020</v>
      </c>
      <c r="D1141" s="35" t="s">
        <v>277</v>
      </c>
      <c r="E1141" s="227">
        <v>43831</v>
      </c>
      <c r="F1141" s="156">
        <v>423725.05</v>
      </c>
      <c r="G1141" s="131">
        <f t="shared" si="103"/>
        <v>75931.528959999996</v>
      </c>
      <c r="H1141" s="156">
        <v>2522.8000000000002</v>
      </c>
      <c r="I1141" s="156">
        <v>2231.67</v>
      </c>
      <c r="J1141" s="156">
        <v>1617.54</v>
      </c>
      <c r="K1141" s="131">
        <f t="shared" si="104"/>
        <v>6372.01</v>
      </c>
      <c r="L1141" s="134">
        <v>0.1792</v>
      </c>
    </row>
    <row r="1142" spans="3:12">
      <c r="C1142" s="161">
        <f t="shared" si="102"/>
        <v>2020</v>
      </c>
      <c r="D1142" s="35" t="s">
        <v>277</v>
      </c>
      <c r="E1142" s="227">
        <v>43862</v>
      </c>
      <c r="F1142" s="156">
        <v>428159.17</v>
      </c>
      <c r="G1142" s="131">
        <f t="shared" si="103"/>
        <v>76726.123263999994</v>
      </c>
      <c r="H1142" s="156">
        <v>856.91</v>
      </c>
      <c r="I1142" s="156">
        <v>2886.51</v>
      </c>
      <c r="J1142" s="156">
        <v>0</v>
      </c>
      <c r="K1142" s="131">
        <f t="shared" si="104"/>
        <v>3743.42</v>
      </c>
      <c r="L1142" s="134">
        <v>0.1792</v>
      </c>
    </row>
    <row r="1143" spans="3:12">
      <c r="C1143" s="161">
        <f t="shared" si="102"/>
        <v>2020</v>
      </c>
      <c r="D1143" s="35" t="s">
        <v>277</v>
      </c>
      <c r="E1143" s="227">
        <v>43891</v>
      </c>
      <c r="F1143" s="156">
        <v>425833.50315</v>
      </c>
      <c r="G1143" s="131">
        <f t="shared" si="103"/>
        <v>76309.363764480004</v>
      </c>
      <c r="H1143" s="156">
        <v>7644.48</v>
      </c>
      <c r="I1143" s="156">
        <v>2941.12</v>
      </c>
      <c r="J1143" s="156">
        <v>0</v>
      </c>
      <c r="K1143" s="131">
        <f t="shared" si="104"/>
        <v>10585.599999999999</v>
      </c>
      <c r="L1143" s="134">
        <v>0.1792</v>
      </c>
    </row>
    <row r="1144" spans="3:12">
      <c r="C1144" s="161">
        <f t="shared" si="102"/>
        <v>2020</v>
      </c>
      <c r="D1144" s="35" t="s">
        <v>277</v>
      </c>
      <c r="E1144" s="227">
        <v>43922</v>
      </c>
      <c r="F1144" s="156">
        <v>428542.27267500001</v>
      </c>
      <c r="G1144" s="131">
        <f t="shared" si="103"/>
        <v>76794.775263360003</v>
      </c>
      <c r="H1144" s="156">
        <v>491.89</v>
      </c>
      <c r="I1144" s="156">
        <v>1777.97</v>
      </c>
      <c r="J1144" s="156">
        <v>0</v>
      </c>
      <c r="K1144" s="131">
        <f t="shared" si="104"/>
        <v>2269.86</v>
      </c>
      <c r="L1144" s="134">
        <v>0.1792</v>
      </c>
    </row>
    <row r="1145" spans="3:12">
      <c r="C1145" s="161">
        <f t="shared" si="102"/>
        <v>2020</v>
      </c>
      <c r="D1145" s="35" t="s">
        <v>277</v>
      </c>
      <c r="E1145" s="227">
        <v>43952</v>
      </c>
      <c r="F1145" s="156">
        <v>414987.24</v>
      </c>
      <c r="G1145" s="131">
        <f t="shared" si="103"/>
        <v>74365.713407999996</v>
      </c>
      <c r="H1145" s="156">
        <v>444.83</v>
      </c>
      <c r="I1145" s="156">
        <v>0</v>
      </c>
      <c r="J1145" s="156">
        <v>0</v>
      </c>
      <c r="K1145" s="131">
        <f t="shared" si="104"/>
        <v>444.83</v>
      </c>
      <c r="L1145" s="134">
        <v>0.1792</v>
      </c>
    </row>
    <row r="1146" spans="3:12">
      <c r="C1146" s="161">
        <f t="shared" si="102"/>
        <v>2020</v>
      </c>
      <c r="D1146" s="35" t="s">
        <v>277</v>
      </c>
      <c r="E1146" s="227">
        <v>43983</v>
      </c>
      <c r="F1146" s="156">
        <v>416012.78</v>
      </c>
      <c r="G1146" s="131">
        <f t="shared" si="103"/>
        <v>74549.490176000007</v>
      </c>
      <c r="H1146" s="156">
        <v>3580.38</v>
      </c>
      <c r="I1146" s="156">
        <v>2696.56</v>
      </c>
      <c r="J1146" s="156">
        <v>0</v>
      </c>
      <c r="K1146" s="131">
        <f t="shared" si="104"/>
        <v>6276.9400000000005</v>
      </c>
      <c r="L1146" s="134">
        <v>0.1792</v>
      </c>
    </row>
    <row r="1147" spans="3:12">
      <c r="C1147" s="161">
        <f t="shared" si="102"/>
        <v>2020</v>
      </c>
      <c r="D1147" s="35" t="s">
        <v>277</v>
      </c>
      <c r="E1147" s="227">
        <v>44013</v>
      </c>
      <c r="F1147" s="156">
        <v>418332.66</v>
      </c>
      <c r="G1147" s="131">
        <f t="shared" si="103"/>
        <v>74965.212671999994</v>
      </c>
      <c r="H1147" s="156">
        <v>11856.87</v>
      </c>
      <c r="I1147" s="156">
        <v>6346.81</v>
      </c>
      <c r="J1147" s="156">
        <v>0</v>
      </c>
      <c r="K1147" s="131">
        <f t="shared" si="104"/>
        <v>18203.68</v>
      </c>
      <c r="L1147" s="134">
        <v>0.1792</v>
      </c>
    </row>
    <row r="1148" spans="3:12">
      <c r="C1148" s="161">
        <f t="shared" si="102"/>
        <v>2020</v>
      </c>
      <c r="D1148" s="35" t="s">
        <v>277</v>
      </c>
      <c r="E1148" s="227">
        <v>44044</v>
      </c>
      <c r="F1148" s="156">
        <v>469954.57</v>
      </c>
      <c r="G1148" s="131">
        <f t="shared" si="103"/>
        <v>84215.858944000007</v>
      </c>
      <c r="H1148" s="156">
        <v>4486.3599999999997</v>
      </c>
      <c r="I1148" s="156">
        <v>667.78</v>
      </c>
      <c r="J1148" s="156">
        <v>867.21</v>
      </c>
      <c r="K1148" s="131">
        <f t="shared" si="104"/>
        <v>6021.3499999999995</v>
      </c>
      <c r="L1148" s="134">
        <v>0.1792</v>
      </c>
    </row>
    <row r="1149" spans="3:12">
      <c r="C1149" s="161">
        <f t="shared" si="102"/>
        <v>2020</v>
      </c>
      <c r="D1149" s="35" t="s">
        <v>277</v>
      </c>
      <c r="E1149" s="227">
        <v>44075</v>
      </c>
      <c r="F1149" s="156">
        <v>520467.88</v>
      </c>
      <c r="G1149" s="131">
        <f t="shared" si="103"/>
        <v>93267.844096000001</v>
      </c>
      <c r="H1149" s="156">
        <v>549.26</v>
      </c>
      <c r="I1149" s="156">
        <v>1876.73</v>
      </c>
      <c r="J1149" s="156">
        <v>0</v>
      </c>
      <c r="K1149" s="131">
        <f t="shared" si="104"/>
        <v>2425.9899999999998</v>
      </c>
      <c r="L1149" s="134">
        <v>0.1792</v>
      </c>
    </row>
    <row r="1150" spans="3:12">
      <c r="C1150" s="161">
        <f t="shared" si="102"/>
        <v>2020</v>
      </c>
      <c r="D1150" s="35" t="s">
        <v>277</v>
      </c>
      <c r="E1150" s="227">
        <v>44105</v>
      </c>
      <c r="F1150" s="156">
        <v>528992.05000000005</v>
      </c>
      <c r="G1150" s="131">
        <f t="shared" si="103"/>
        <v>94795.375360000005</v>
      </c>
      <c r="H1150" s="156">
        <v>15228.93</v>
      </c>
      <c r="I1150" s="156">
        <v>979.47</v>
      </c>
      <c r="J1150" s="156">
        <v>452.95</v>
      </c>
      <c r="K1150" s="131">
        <f t="shared" si="104"/>
        <v>16661.349999999999</v>
      </c>
      <c r="L1150" s="134">
        <v>0.1792</v>
      </c>
    </row>
    <row r="1151" spans="3:12">
      <c r="C1151" s="161">
        <f t="shared" si="102"/>
        <v>2020</v>
      </c>
      <c r="D1151" s="35" t="s">
        <v>277</v>
      </c>
      <c r="E1151" s="227">
        <v>44136</v>
      </c>
      <c r="F1151" s="156">
        <v>460720.06</v>
      </c>
      <c r="G1151" s="131">
        <f t="shared" si="103"/>
        <v>82561.034751999992</v>
      </c>
      <c r="H1151" s="156">
        <v>339334.99</v>
      </c>
      <c r="I1151" s="156">
        <v>114135.6</v>
      </c>
      <c r="J1151" s="156">
        <v>0</v>
      </c>
      <c r="K1151" s="131">
        <f t="shared" si="104"/>
        <v>453470.58999999997</v>
      </c>
      <c r="L1151" s="134">
        <v>0.1792</v>
      </c>
    </row>
    <row r="1152" spans="3:12">
      <c r="C1152" s="161">
        <f t="shared" si="102"/>
        <v>2020</v>
      </c>
      <c r="D1152" s="35" t="s">
        <v>277</v>
      </c>
      <c r="E1152" s="227">
        <v>44166</v>
      </c>
      <c r="F1152" s="156">
        <v>466272.04</v>
      </c>
      <c r="G1152" s="131">
        <f t="shared" si="103"/>
        <v>83555.949567999996</v>
      </c>
      <c r="H1152" s="156">
        <v>6540.84</v>
      </c>
      <c r="I1152" s="156">
        <v>137267.91</v>
      </c>
      <c r="J1152" s="156">
        <v>0</v>
      </c>
      <c r="K1152" s="131">
        <f t="shared" si="104"/>
        <v>143808.75</v>
      </c>
      <c r="L1152" s="134">
        <v>0.1792</v>
      </c>
    </row>
    <row r="1153" spans="3:12">
      <c r="C1153" s="161">
        <f t="shared" si="102"/>
        <v>2021</v>
      </c>
      <c r="D1153" s="35" t="s">
        <v>277</v>
      </c>
      <c r="E1153" s="227">
        <v>44197</v>
      </c>
      <c r="F1153" s="156">
        <v>465132.65</v>
      </c>
      <c r="G1153" s="131">
        <f t="shared" si="103"/>
        <v>83351.770879999996</v>
      </c>
      <c r="H1153" s="156">
        <v>5625.97</v>
      </c>
      <c r="I1153" s="156">
        <v>8111.5</v>
      </c>
      <c r="J1153" s="156">
        <v>0</v>
      </c>
      <c r="K1153" s="131">
        <f t="shared" si="104"/>
        <v>13737.470000000001</v>
      </c>
      <c r="L1153" s="134">
        <v>0.1792</v>
      </c>
    </row>
    <row r="1154" spans="3:12">
      <c r="C1154" s="161">
        <f t="shared" si="102"/>
        <v>2021</v>
      </c>
      <c r="D1154" s="35" t="s">
        <v>277</v>
      </c>
      <c r="E1154" s="227">
        <v>44229</v>
      </c>
      <c r="F1154" s="156">
        <v>453830.87</v>
      </c>
      <c r="G1154" s="131">
        <f t="shared" si="103"/>
        <v>81326.491903999995</v>
      </c>
      <c r="H1154" s="156">
        <v>20056.28</v>
      </c>
      <c r="I1154" s="156">
        <v>0</v>
      </c>
      <c r="J1154" s="156">
        <v>0</v>
      </c>
      <c r="K1154" s="131">
        <f t="shared" si="104"/>
        <v>20056.28</v>
      </c>
      <c r="L1154" s="134">
        <v>0.1792</v>
      </c>
    </row>
    <row r="1155" spans="3:12">
      <c r="C1155" s="161">
        <f t="shared" si="102"/>
        <v>2021</v>
      </c>
      <c r="D1155" s="35" t="s">
        <v>277</v>
      </c>
      <c r="E1155" s="227">
        <v>44258</v>
      </c>
      <c r="F1155" s="156">
        <v>420911.9</v>
      </c>
      <c r="G1155" s="131">
        <f t="shared" si="103"/>
        <v>75427.412479999999</v>
      </c>
      <c r="H1155" s="156">
        <v>4420.43</v>
      </c>
      <c r="I1155" s="156">
        <v>2420.14</v>
      </c>
      <c r="J1155" s="156">
        <v>0</v>
      </c>
      <c r="K1155" s="131">
        <f t="shared" si="104"/>
        <v>6840.57</v>
      </c>
      <c r="L1155" s="134">
        <v>0.1792</v>
      </c>
    </row>
    <row r="1156" spans="3:12">
      <c r="C1156" s="161">
        <f t="shared" ref="C1156:C1219" si="105">YEAR(E1156)</f>
        <v>2021</v>
      </c>
      <c r="D1156" s="35" t="s">
        <v>277</v>
      </c>
      <c r="E1156" s="227">
        <v>44290</v>
      </c>
      <c r="F1156" s="156">
        <v>469955.64</v>
      </c>
      <c r="G1156" s="131">
        <f t="shared" ref="G1156:G1219" si="106">F1156*L1156</f>
        <v>84216.050688000003</v>
      </c>
      <c r="H1156" s="156">
        <v>15477.35</v>
      </c>
      <c r="I1156" s="156">
        <v>3850.92</v>
      </c>
      <c r="J1156" s="156">
        <v>0</v>
      </c>
      <c r="K1156" s="131">
        <f t="shared" ref="K1156:K1219" si="107">SUM(H1156:J1156)</f>
        <v>19328.27</v>
      </c>
      <c r="L1156" s="134">
        <v>0.1792</v>
      </c>
    </row>
    <row r="1157" spans="3:12">
      <c r="C1157" s="161">
        <f t="shared" si="105"/>
        <v>2021</v>
      </c>
      <c r="D1157" s="35" t="s">
        <v>277</v>
      </c>
      <c r="E1157" s="227">
        <v>44321</v>
      </c>
      <c r="F1157" s="156">
        <v>471082.65</v>
      </c>
      <c r="G1157" s="131">
        <f t="shared" si="106"/>
        <v>84418.010880000002</v>
      </c>
      <c r="H1157" s="156">
        <v>3906.08</v>
      </c>
      <c r="I1157" s="156">
        <v>0</v>
      </c>
      <c r="J1157" s="156">
        <v>0</v>
      </c>
      <c r="K1157" s="131">
        <f t="shared" si="107"/>
        <v>3906.08</v>
      </c>
      <c r="L1157" s="134">
        <v>0.1792</v>
      </c>
    </row>
    <row r="1158" spans="3:12">
      <c r="C1158" s="161">
        <f t="shared" si="105"/>
        <v>2021</v>
      </c>
      <c r="D1158" s="35" t="s">
        <v>277</v>
      </c>
      <c r="E1158" s="227">
        <v>44353</v>
      </c>
      <c r="F1158" s="156">
        <v>466419.63</v>
      </c>
      <c r="G1158" s="131">
        <f t="shared" si="106"/>
        <v>83582.397696</v>
      </c>
      <c r="H1158" s="156">
        <v>2210.0100000000002</v>
      </c>
      <c r="I1158" s="156">
        <v>0</v>
      </c>
      <c r="J1158" s="156">
        <v>0</v>
      </c>
      <c r="K1158" s="131">
        <f t="shared" si="107"/>
        <v>2210.0100000000002</v>
      </c>
      <c r="L1158" s="134">
        <v>0.1792</v>
      </c>
    </row>
    <row r="1159" spans="3:12">
      <c r="C1159" s="161">
        <f t="shared" si="105"/>
        <v>2015</v>
      </c>
      <c r="D1159" s="35" t="s">
        <v>278</v>
      </c>
      <c r="E1159" s="227">
        <v>42309</v>
      </c>
      <c r="F1159" s="156">
        <v>84380.15</v>
      </c>
      <c r="G1159" s="131">
        <f t="shared" si="106"/>
        <v>15120.922879999998</v>
      </c>
      <c r="H1159" s="156">
        <v>583.87</v>
      </c>
      <c r="I1159" s="156">
        <v>9706.7800000000007</v>
      </c>
      <c r="J1159" s="156">
        <v>0</v>
      </c>
      <c r="K1159" s="131">
        <f t="shared" si="107"/>
        <v>10290.650000000001</v>
      </c>
      <c r="L1159" s="134">
        <v>0.1792</v>
      </c>
    </row>
    <row r="1160" spans="3:12">
      <c r="C1160" s="161">
        <f t="shared" si="105"/>
        <v>2015</v>
      </c>
      <c r="D1160" s="35" t="s">
        <v>278</v>
      </c>
      <c r="E1160" s="227">
        <v>42339</v>
      </c>
      <c r="F1160" s="156">
        <v>80728.58</v>
      </c>
      <c r="G1160" s="131">
        <f t="shared" si="106"/>
        <v>14466.561536000001</v>
      </c>
      <c r="H1160" s="156">
        <v>178.56</v>
      </c>
      <c r="I1160" s="156">
        <v>13348.5</v>
      </c>
      <c r="J1160" s="156">
        <v>0</v>
      </c>
      <c r="K1160" s="131">
        <f t="shared" si="107"/>
        <v>13527.06</v>
      </c>
      <c r="L1160" s="134">
        <v>0.1792</v>
      </c>
    </row>
    <row r="1161" spans="3:12">
      <c r="C1161" s="161">
        <f t="shared" si="105"/>
        <v>2016</v>
      </c>
      <c r="D1161" s="35" t="s">
        <v>278</v>
      </c>
      <c r="E1161" s="227">
        <v>42370</v>
      </c>
      <c r="F1161" s="156">
        <v>80478.19</v>
      </c>
      <c r="G1161" s="131">
        <f t="shared" si="106"/>
        <v>14421.691648</v>
      </c>
      <c r="H1161" s="156">
        <v>634.5</v>
      </c>
      <c r="I1161" s="156">
        <v>0</v>
      </c>
      <c r="J1161" s="156">
        <v>0</v>
      </c>
      <c r="K1161" s="131">
        <f t="shared" si="107"/>
        <v>634.5</v>
      </c>
      <c r="L1161" s="134">
        <v>0.1792</v>
      </c>
    </row>
    <row r="1162" spans="3:12">
      <c r="C1162" s="161">
        <f t="shared" si="105"/>
        <v>2016</v>
      </c>
      <c r="D1162" s="35" t="s">
        <v>278</v>
      </c>
      <c r="E1162" s="227">
        <v>42401</v>
      </c>
      <c r="F1162" s="156">
        <v>79512.98</v>
      </c>
      <c r="G1162" s="131">
        <f t="shared" si="106"/>
        <v>14248.726015999999</v>
      </c>
      <c r="H1162" s="156">
        <v>63.58</v>
      </c>
      <c r="I1162" s="156">
        <v>868.19</v>
      </c>
      <c r="J1162" s="156">
        <v>0</v>
      </c>
      <c r="K1162" s="131">
        <f t="shared" si="107"/>
        <v>931.7700000000001</v>
      </c>
      <c r="L1162" s="134">
        <v>0.1792</v>
      </c>
    </row>
    <row r="1163" spans="3:12">
      <c r="C1163" s="161">
        <f t="shared" si="105"/>
        <v>2016</v>
      </c>
      <c r="D1163" s="35" t="s">
        <v>278</v>
      </c>
      <c r="E1163" s="227">
        <v>42430</v>
      </c>
      <c r="F1163" s="156">
        <v>81543.240000000005</v>
      </c>
      <c r="G1163" s="131">
        <f t="shared" si="106"/>
        <v>14612.548608000001</v>
      </c>
      <c r="H1163" s="156">
        <v>375.79</v>
      </c>
      <c r="I1163" s="156">
        <v>7291.55</v>
      </c>
      <c r="J1163" s="156">
        <v>0</v>
      </c>
      <c r="K1163" s="131">
        <f t="shared" si="107"/>
        <v>7667.34</v>
      </c>
      <c r="L1163" s="134">
        <v>0.1792</v>
      </c>
    </row>
    <row r="1164" spans="3:12">
      <c r="C1164" s="161">
        <f t="shared" si="105"/>
        <v>2016</v>
      </c>
      <c r="D1164" s="35" t="s">
        <v>278</v>
      </c>
      <c r="E1164" s="227">
        <v>42461</v>
      </c>
      <c r="F1164" s="156">
        <v>89961.65</v>
      </c>
      <c r="G1164" s="131">
        <f t="shared" si="106"/>
        <v>16121.12768</v>
      </c>
      <c r="H1164" s="156">
        <v>961.83</v>
      </c>
      <c r="I1164" s="156">
        <v>8130.42</v>
      </c>
      <c r="J1164" s="156">
        <v>0</v>
      </c>
      <c r="K1164" s="131">
        <f t="shared" si="107"/>
        <v>9092.25</v>
      </c>
      <c r="L1164" s="134">
        <v>0.1792</v>
      </c>
    </row>
    <row r="1165" spans="3:12">
      <c r="C1165" s="161">
        <f t="shared" si="105"/>
        <v>2016</v>
      </c>
      <c r="D1165" s="35" t="s">
        <v>278</v>
      </c>
      <c r="E1165" s="227">
        <v>42491</v>
      </c>
      <c r="F1165" s="156">
        <v>77739.3</v>
      </c>
      <c r="G1165" s="131">
        <f t="shared" si="106"/>
        <v>13930.88256</v>
      </c>
      <c r="H1165" s="156">
        <v>893.09</v>
      </c>
      <c r="I1165" s="156">
        <v>788.89</v>
      </c>
      <c r="J1165" s="156">
        <v>0</v>
      </c>
      <c r="K1165" s="131">
        <f t="shared" si="107"/>
        <v>1681.98</v>
      </c>
      <c r="L1165" s="134">
        <v>0.1792</v>
      </c>
    </row>
    <row r="1166" spans="3:12">
      <c r="C1166" s="161">
        <f t="shared" si="105"/>
        <v>2016</v>
      </c>
      <c r="D1166" s="35" t="s">
        <v>278</v>
      </c>
      <c r="E1166" s="227">
        <v>42522</v>
      </c>
      <c r="F1166" s="156">
        <v>79863.55</v>
      </c>
      <c r="G1166" s="131">
        <f t="shared" si="106"/>
        <v>14311.54816</v>
      </c>
      <c r="H1166" s="156">
        <v>155.79</v>
      </c>
      <c r="I1166" s="156">
        <v>0</v>
      </c>
      <c r="J1166" s="156">
        <v>0</v>
      </c>
      <c r="K1166" s="131">
        <f t="shared" si="107"/>
        <v>155.79</v>
      </c>
      <c r="L1166" s="134">
        <v>0.1792</v>
      </c>
    </row>
    <row r="1167" spans="3:12">
      <c r="C1167" s="161">
        <f t="shared" si="105"/>
        <v>2016</v>
      </c>
      <c r="D1167" s="35" t="s">
        <v>278</v>
      </c>
      <c r="E1167" s="227">
        <v>42552</v>
      </c>
      <c r="F1167" s="156">
        <v>86443.74</v>
      </c>
      <c r="G1167" s="131">
        <f t="shared" si="106"/>
        <v>15490.718208</v>
      </c>
      <c r="H1167" s="156">
        <v>4676.33</v>
      </c>
      <c r="I1167" s="156">
        <v>0</v>
      </c>
      <c r="J1167" s="156">
        <v>3980</v>
      </c>
      <c r="K1167" s="131">
        <f t="shared" si="107"/>
        <v>8656.33</v>
      </c>
      <c r="L1167" s="134">
        <v>0.1792</v>
      </c>
    </row>
    <row r="1168" spans="3:12">
      <c r="C1168" s="161">
        <f t="shared" si="105"/>
        <v>2016</v>
      </c>
      <c r="D1168" s="35" t="s">
        <v>278</v>
      </c>
      <c r="E1168" s="227">
        <v>42583</v>
      </c>
      <c r="F1168" s="156">
        <v>92917.9</v>
      </c>
      <c r="G1168" s="131">
        <f t="shared" si="106"/>
        <v>16650.88768</v>
      </c>
      <c r="H1168" s="156">
        <v>11436.54</v>
      </c>
      <c r="I1168" s="156">
        <v>3486.19</v>
      </c>
      <c r="J1168" s="156">
        <v>0</v>
      </c>
      <c r="K1168" s="131">
        <f t="shared" si="107"/>
        <v>14922.730000000001</v>
      </c>
      <c r="L1168" s="134">
        <v>0.1792</v>
      </c>
    </row>
    <row r="1169" spans="3:12">
      <c r="C1169" s="161">
        <f t="shared" si="105"/>
        <v>2016</v>
      </c>
      <c r="D1169" s="35" t="s">
        <v>278</v>
      </c>
      <c r="E1169" s="227">
        <v>42614</v>
      </c>
      <c r="F1169" s="156">
        <v>99272.93</v>
      </c>
      <c r="G1169" s="131">
        <f t="shared" si="106"/>
        <v>17789.709056</v>
      </c>
      <c r="H1169" s="156">
        <v>968.65</v>
      </c>
      <c r="I1169" s="156">
        <v>11649.88</v>
      </c>
      <c r="J1169" s="156">
        <v>0</v>
      </c>
      <c r="K1169" s="131">
        <f t="shared" si="107"/>
        <v>12618.529999999999</v>
      </c>
      <c r="L1169" s="134">
        <v>0.1792</v>
      </c>
    </row>
    <row r="1170" spans="3:12">
      <c r="C1170" s="161">
        <f t="shared" si="105"/>
        <v>2016</v>
      </c>
      <c r="D1170" s="35" t="s">
        <v>278</v>
      </c>
      <c r="E1170" s="227">
        <v>42644</v>
      </c>
      <c r="F1170" s="156">
        <v>94678.26</v>
      </c>
      <c r="G1170" s="131">
        <f t="shared" si="106"/>
        <v>16966.344192</v>
      </c>
      <c r="H1170" s="156">
        <v>2514.71</v>
      </c>
      <c r="I1170" s="156">
        <v>903.89</v>
      </c>
      <c r="J1170" s="156">
        <v>0</v>
      </c>
      <c r="K1170" s="131">
        <f t="shared" si="107"/>
        <v>3418.6</v>
      </c>
      <c r="L1170" s="134">
        <v>0.1792</v>
      </c>
    </row>
    <row r="1171" spans="3:12">
      <c r="C1171" s="161">
        <f t="shared" si="105"/>
        <v>2016</v>
      </c>
      <c r="D1171" s="35" t="s">
        <v>278</v>
      </c>
      <c r="E1171" s="227">
        <v>42675</v>
      </c>
      <c r="F1171" s="156">
        <v>95297.41</v>
      </c>
      <c r="G1171" s="131">
        <f t="shared" si="106"/>
        <v>17077.295871999999</v>
      </c>
      <c r="H1171" s="156">
        <v>2976.12</v>
      </c>
      <c r="I1171" s="156">
        <v>472.06</v>
      </c>
      <c r="J1171" s="156">
        <v>0</v>
      </c>
      <c r="K1171" s="131">
        <f t="shared" si="107"/>
        <v>3448.18</v>
      </c>
      <c r="L1171" s="134">
        <v>0.1792</v>
      </c>
    </row>
    <row r="1172" spans="3:12">
      <c r="C1172" s="161">
        <f t="shared" si="105"/>
        <v>2016</v>
      </c>
      <c r="D1172" s="35" t="s">
        <v>278</v>
      </c>
      <c r="E1172" s="227">
        <v>42705</v>
      </c>
      <c r="F1172" s="156">
        <v>90536.59</v>
      </c>
      <c r="G1172" s="131">
        <f t="shared" si="106"/>
        <v>16224.156927999999</v>
      </c>
      <c r="H1172" s="156">
        <v>183.09</v>
      </c>
      <c r="I1172" s="156">
        <v>0</v>
      </c>
      <c r="J1172" s="156">
        <v>0</v>
      </c>
      <c r="K1172" s="131">
        <f t="shared" si="107"/>
        <v>183.09</v>
      </c>
      <c r="L1172" s="134">
        <v>0.1792</v>
      </c>
    </row>
    <row r="1173" spans="3:12">
      <c r="C1173" s="161">
        <f t="shared" si="105"/>
        <v>2017</v>
      </c>
      <c r="D1173" s="35" t="s">
        <v>278</v>
      </c>
      <c r="E1173" s="227">
        <v>42736</v>
      </c>
      <c r="F1173" s="156">
        <v>97711.71</v>
      </c>
      <c r="G1173" s="131">
        <f t="shared" si="106"/>
        <v>17509.938432000003</v>
      </c>
      <c r="H1173" s="156">
        <v>68.739999999999995</v>
      </c>
      <c r="I1173" s="156">
        <v>773.26</v>
      </c>
      <c r="J1173" s="156">
        <v>2037</v>
      </c>
      <c r="K1173" s="131">
        <f t="shared" si="107"/>
        <v>2879</v>
      </c>
      <c r="L1173" s="134">
        <v>0.1792</v>
      </c>
    </row>
    <row r="1174" spans="3:12">
      <c r="C1174" s="161">
        <f t="shared" si="105"/>
        <v>2017</v>
      </c>
      <c r="D1174" s="35" t="s">
        <v>278</v>
      </c>
      <c r="E1174" s="227">
        <v>42767</v>
      </c>
      <c r="F1174" s="156">
        <v>91235.71</v>
      </c>
      <c r="G1174" s="131">
        <f t="shared" si="106"/>
        <v>16349.439232000001</v>
      </c>
      <c r="H1174" s="156">
        <v>920.21</v>
      </c>
      <c r="I1174" s="156">
        <v>101.9</v>
      </c>
      <c r="J1174" s="156">
        <v>0</v>
      </c>
      <c r="K1174" s="131">
        <f t="shared" si="107"/>
        <v>1022.11</v>
      </c>
      <c r="L1174" s="134">
        <v>0.1792</v>
      </c>
    </row>
    <row r="1175" spans="3:12">
      <c r="C1175" s="161">
        <f t="shared" si="105"/>
        <v>2017</v>
      </c>
      <c r="D1175" s="35" t="s">
        <v>278</v>
      </c>
      <c r="E1175" s="227">
        <v>42795</v>
      </c>
      <c r="F1175" s="156">
        <v>81990.37</v>
      </c>
      <c r="G1175" s="131">
        <f t="shared" si="106"/>
        <v>14692.674303999998</v>
      </c>
      <c r="H1175" s="156">
        <v>530.04999999999995</v>
      </c>
      <c r="I1175" s="156">
        <v>0</v>
      </c>
      <c r="J1175" s="156">
        <v>790</v>
      </c>
      <c r="K1175" s="131">
        <f t="shared" si="107"/>
        <v>1320.05</v>
      </c>
      <c r="L1175" s="134">
        <v>0.1792</v>
      </c>
    </row>
    <row r="1176" spans="3:12">
      <c r="C1176" s="161">
        <f t="shared" si="105"/>
        <v>2017</v>
      </c>
      <c r="D1176" s="35" t="s">
        <v>278</v>
      </c>
      <c r="E1176" s="227">
        <v>42826</v>
      </c>
      <c r="F1176" s="156">
        <v>92979.199999999997</v>
      </c>
      <c r="G1176" s="131">
        <f t="shared" si="106"/>
        <v>16661.872639999998</v>
      </c>
      <c r="H1176" s="156">
        <v>8722.2099999999991</v>
      </c>
      <c r="I1176" s="156">
        <v>28963.52</v>
      </c>
      <c r="J1176" s="156">
        <v>0</v>
      </c>
      <c r="K1176" s="131">
        <f t="shared" si="107"/>
        <v>37685.729999999996</v>
      </c>
      <c r="L1176" s="134">
        <v>0.1792</v>
      </c>
    </row>
    <row r="1177" spans="3:12">
      <c r="C1177" s="161">
        <f t="shared" si="105"/>
        <v>2017</v>
      </c>
      <c r="D1177" s="35" t="s">
        <v>278</v>
      </c>
      <c r="E1177" s="227">
        <v>42856</v>
      </c>
      <c r="F1177" s="156">
        <v>86807.02</v>
      </c>
      <c r="G1177" s="131">
        <f t="shared" si="106"/>
        <v>15555.817984000001</v>
      </c>
      <c r="H1177" s="156">
        <v>5145.3900000000003</v>
      </c>
      <c r="I1177" s="156">
        <v>17428.2</v>
      </c>
      <c r="J1177" s="156">
        <v>0</v>
      </c>
      <c r="K1177" s="131">
        <f t="shared" si="107"/>
        <v>22573.59</v>
      </c>
      <c r="L1177" s="134">
        <v>0.1792</v>
      </c>
    </row>
    <row r="1178" spans="3:12">
      <c r="C1178" s="161">
        <f t="shared" si="105"/>
        <v>2017</v>
      </c>
      <c r="D1178" s="35" t="s">
        <v>278</v>
      </c>
      <c r="E1178" s="227">
        <v>42887</v>
      </c>
      <c r="F1178" s="156">
        <v>84020.62</v>
      </c>
      <c r="G1178" s="131">
        <f t="shared" si="106"/>
        <v>15056.495104</v>
      </c>
      <c r="H1178" s="156">
        <v>58.96</v>
      </c>
      <c r="I1178" s="156">
        <v>30497.87</v>
      </c>
      <c r="J1178" s="156">
        <v>11447.44</v>
      </c>
      <c r="K1178" s="131">
        <f t="shared" si="107"/>
        <v>42004.27</v>
      </c>
      <c r="L1178" s="134">
        <v>0.1792</v>
      </c>
    </row>
    <row r="1179" spans="3:12">
      <c r="C1179" s="161">
        <f t="shared" si="105"/>
        <v>2017</v>
      </c>
      <c r="D1179" s="35" t="s">
        <v>278</v>
      </c>
      <c r="E1179" s="227">
        <v>42917</v>
      </c>
      <c r="F1179" s="156">
        <v>87281.99</v>
      </c>
      <c r="G1179" s="131">
        <f t="shared" si="106"/>
        <v>15640.932608000001</v>
      </c>
      <c r="H1179" s="156">
        <v>141.11000000000001</v>
      </c>
      <c r="I1179" s="156">
        <v>1397.69</v>
      </c>
      <c r="J1179" s="156">
        <v>0</v>
      </c>
      <c r="K1179" s="131">
        <f t="shared" si="107"/>
        <v>1538.8000000000002</v>
      </c>
      <c r="L1179" s="134">
        <v>0.1792</v>
      </c>
    </row>
    <row r="1180" spans="3:12">
      <c r="C1180" s="161">
        <f t="shared" si="105"/>
        <v>2017</v>
      </c>
      <c r="D1180" s="35" t="s">
        <v>278</v>
      </c>
      <c r="E1180" s="227">
        <v>42948</v>
      </c>
      <c r="F1180" s="156">
        <v>101396.24</v>
      </c>
      <c r="G1180" s="131">
        <f t="shared" si="106"/>
        <v>18170.206208</v>
      </c>
      <c r="H1180" s="156">
        <v>4471.76</v>
      </c>
      <c r="I1180" s="156">
        <v>0</v>
      </c>
      <c r="J1180" s="156">
        <v>0</v>
      </c>
      <c r="K1180" s="131">
        <f t="shared" si="107"/>
        <v>4471.76</v>
      </c>
      <c r="L1180" s="134">
        <v>0.1792</v>
      </c>
    </row>
    <row r="1181" spans="3:12">
      <c r="C1181" s="161">
        <f t="shared" si="105"/>
        <v>2017</v>
      </c>
      <c r="D1181" s="35" t="s">
        <v>278</v>
      </c>
      <c r="E1181" s="227">
        <v>42979</v>
      </c>
      <c r="F1181" s="156">
        <v>106771.33</v>
      </c>
      <c r="G1181" s="131">
        <f t="shared" si="106"/>
        <v>19133.422336</v>
      </c>
      <c r="H1181" s="156">
        <v>256.58999999999997</v>
      </c>
      <c r="I1181" s="156">
        <v>0</v>
      </c>
      <c r="J1181" s="156">
        <v>0</v>
      </c>
      <c r="K1181" s="131">
        <f t="shared" si="107"/>
        <v>256.58999999999997</v>
      </c>
      <c r="L1181" s="134">
        <v>0.1792</v>
      </c>
    </row>
    <row r="1182" spans="3:12">
      <c r="C1182" s="161">
        <f t="shared" si="105"/>
        <v>2017</v>
      </c>
      <c r="D1182" s="35" t="s">
        <v>278</v>
      </c>
      <c r="E1182" s="227">
        <v>43009</v>
      </c>
      <c r="F1182" s="156">
        <v>101578.78</v>
      </c>
      <c r="G1182" s="131">
        <f t="shared" si="106"/>
        <v>18202.917376000001</v>
      </c>
      <c r="H1182" s="156">
        <v>103.14</v>
      </c>
      <c r="I1182" s="156">
        <v>3278.25</v>
      </c>
      <c r="J1182" s="156">
        <v>0</v>
      </c>
      <c r="K1182" s="131">
        <f t="shared" si="107"/>
        <v>3381.39</v>
      </c>
      <c r="L1182" s="134">
        <v>0.1792</v>
      </c>
    </row>
    <row r="1183" spans="3:12">
      <c r="C1183" s="161">
        <f t="shared" si="105"/>
        <v>2017</v>
      </c>
      <c r="D1183" s="35" t="s">
        <v>278</v>
      </c>
      <c r="E1183" s="227">
        <v>43040</v>
      </c>
      <c r="F1183" s="156">
        <v>106539.09</v>
      </c>
      <c r="G1183" s="131">
        <f t="shared" si="106"/>
        <v>19091.804927999998</v>
      </c>
      <c r="H1183" s="156">
        <v>1519.62</v>
      </c>
      <c r="I1183" s="156">
        <v>3866.27</v>
      </c>
      <c r="J1183" s="156">
        <v>4186</v>
      </c>
      <c r="K1183" s="131">
        <f t="shared" si="107"/>
        <v>9571.89</v>
      </c>
      <c r="L1183" s="134">
        <v>0.1792</v>
      </c>
    </row>
    <row r="1184" spans="3:12">
      <c r="C1184" s="161">
        <f t="shared" si="105"/>
        <v>2017</v>
      </c>
      <c r="D1184" s="35" t="s">
        <v>278</v>
      </c>
      <c r="E1184" s="227">
        <v>43070</v>
      </c>
      <c r="F1184" s="156">
        <v>98277.66</v>
      </c>
      <c r="G1184" s="131">
        <f t="shared" si="106"/>
        <v>17611.356672000002</v>
      </c>
      <c r="H1184" s="156">
        <v>76.02</v>
      </c>
      <c r="I1184" s="156">
        <v>0</v>
      </c>
      <c r="J1184" s="156">
        <v>0</v>
      </c>
      <c r="K1184" s="131">
        <f t="shared" si="107"/>
        <v>76.02</v>
      </c>
      <c r="L1184" s="134">
        <v>0.1792</v>
      </c>
    </row>
    <row r="1185" spans="3:12">
      <c r="C1185" s="161">
        <f t="shared" si="105"/>
        <v>2018</v>
      </c>
      <c r="D1185" s="35" t="s">
        <v>278</v>
      </c>
      <c r="E1185" s="227">
        <v>43101</v>
      </c>
      <c r="F1185" s="156">
        <v>97704.81</v>
      </c>
      <c r="G1185" s="131">
        <f t="shared" si="106"/>
        <v>17508.701951999999</v>
      </c>
      <c r="H1185" s="156">
        <v>96.59</v>
      </c>
      <c r="I1185" s="156">
        <v>0</v>
      </c>
      <c r="J1185" s="156">
        <v>1791.8</v>
      </c>
      <c r="K1185" s="131">
        <f t="shared" si="107"/>
        <v>1888.3899999999999</v>
      </c>
      <c r="L1185" s="134">
        <v>0.1792</v>
      </c>
    </row>
    <row r="1186" spans="3:12">
      <c r="C1186" s="161">
        <f t="shared" si="105"/>
        <v>2018</v>
      </c>
      <c r="D1186" s="35" t="s">
        <v>278</v>
      </c>
      <c r="E1186" s="227">
        <v>43132</v>
      </c>
      <c r="F1186" s="156">
        <v>102658.01</v>
      </c>
      <c r="G1186" s="131">
        <f t="shared" si="106"/>
        <v>18396.315392</v>
      </c>
      <c r="H1186" s="156">
        <v>213.67</v>
      </c>
      <c r="I1186" s="156">
        <v>0</v>
      </c>
      <c r="J1186" s="156">
        <v>0</v>
      </c>
      <c r="K1186" s="131">
        <f t="shared" si="107"/>
        <v>213.67</v>
      </c>
      <c r="L1186" s="134">
        <v>0.1792</v>
      </c>
    </row>
    <row r="1187" spans="3:12">
      <c r="C1187" s="161">
        <f t="shared" si="105"/>
        <v>2018</v>
      </c>
      <c r="D1187" s="35" t="s">
        <v>278</v>
      </c>
      <c r="E1187" s="227">
        <v>43160</v>
      </c>
      <c r="F1187" s="156">
        <v>95814.96</v>
      </c>
      <c r="G1187" s="131">
        <f t="shared" si="106"/>
        <v>17170.040832000002</v>
      </c>
      <c r="H1187" s="156">
        <v>914.64</v>
      </c>
      <c r="I1187" s="156">
        <v>0</v>
      </c>
      <c r="J1187" s="156">
        <v>0</v>
      </c>
      <c r="K1187" s="131">
        <f t="shared" si="107"/>
        <v>914.64</v>
      </c>
      <c r="L1187" s="134">
        <v>0.1792</v>
      </c>
    </row>
    <row r="1188" spans="3:12">
      <c r="C1188" s="161">
        <f t="shared" si="105"/>
        <v>2018</v>
      </c>
      <c r="D1188" s="35" t="s">
        <v>278</v>
      </c>
      <c r="E1188" s="227">
        <v>43191</v>
      </c>
      <c r="F1188" s="156">
        <v>96194.31</v>
      </c>
      <c r="G1188" s="131">
        <f t="shared" si="106"/>
        <v>17238.020352</v>
      </c>
      <c r="H1188" s="156">
        <v>160.76</v>
      </c>
      <c r="I1188" s="156">
        <v>3870.76</v>
      </c>
      <c r="J1188" s="156">
        <v>0</v>
      </c>
      <c r="K1188" s="131">
        <f t="shared" si="107"/>
        <v>4031.5200000000004</v>
      </c>
      <c r="L1188" s="134">
        <v>0.1792</v>
      </c>
    </row>
    <row r="1189" spans="3:12">
      <c r="C1189" s="161">
        <f t="shared" si="105"/>
        <v>2018</v>
      </c>
      <c r="D1189" s="35" t="s">
        <v>278</v>
      </c>
      <c r="E1189" s="227">
        <v>43221</v>
      </c>
      <c r="F1189" s="156">
        <v>101547.82</v>
      </c>
      <c r="G1189" s="131">
        <f t="shared" si="106"/>
        <v>18197.369344000002</v>
      </c>
      <c r="H1189" s="156">
        <v>245.07</v>
      </c>
      <c r="I1189" s="156">
        <v>13117.84</v>
      </c>
      <c r="J1189" s="156">
        <v>0</v>
      </c>
      <c r="K1189" s="131">
        <f t="shared" si="107"/>
        <v>13362.91</v>
      </c>
      <c r="L1189" s="134">
        <v>0.1792</v>
      </c>
    </row>
    <row r="1190" spans="3:12">
      <c r="C1190" s="161">
        <f t="shared" si="105"/>
        <v>2018</v>
      </c>
      <c r="D1190" s="35" t="s">
        <v>278</v>
      </c>
      <c r="E1190" s="227">
        <v>43252</v>
      </c>
      <c r="F1190" s="156">
        <v>96737.74</v>
      </c>
      <c r="G1190" s="131">
        <f t="shared" si="106"/>
        <v>17335.403008000001</v>
      </c>
      <c r="H1190" s="156">
        <v>2170.42</v>
      </c>
      <c r="I1190" s="156">
        <v>1062.75</v>
      </c>
      <c r="J1190" s="156">
        <v>2679.09</v>
      </c>
      <c r="K1190" s="131">
        <f t="shared" si="107"/>
        <v>5912.26</v>
      </c>
      <c r="L1190" s="134">
        <v>0.1792</v>
      </c>
    </row>
    <row r="1191" spans="3:12">
      <c r="C1191" s="161">
        <f t="shared" si="105"/>
        <v>2018</v>
      </c>
      <c r="D1191" s="35" t="s">
        <v>278</v>
      </c>
      <c r="E1191" s="227">
        <v>43282</v>
      </c>
      <c r="F1191" s="156">
        <v>92179.37</v>
      </c>
      <c r="G1191" s="131">
        <f t="shared" si="106"/>
        <v>16518.543104</v>
      </c>
      <c r="H1191" s="156">
        <v>420.61</v>
      </c>
      <c r="I1191" s="156">
        <v>1642.61</v>
      </c>
      <c r="J1191" s="156">
        <v>0</v>
      </c>
      <c r="K1191" s="131">
        <f t="shared" si="107"/>
        <v>2063.2199999999998</v>
      </c>
      <c r="L1191" s="134">
        <v>0.1792</v>
      </c>
    </row>
    <row r="1192" spans="3:12">
      <c r="C1192" s="161">
        <f t="shared" si="105"/>
        <v>2018</v>
      </c>
      <c r="D1192" s="35" t="s">
        <v>278</v>
      </c>
      <c r="E1192" s="227">
        <v>43313</v>
      </c>
      <c r="F1192" s="156">
        <v>90372.09</v>
      </c>
      <c r="G1192" s="131">
        <f t="shared" si="106"/>
        <v>16194.678527999999</v>
      </c>
      <c r="H1192" s="156">
        <v>357.2</v>
      </c>
      <c r="I1192" s="156">
        <v>0</v>
      </c>
      <c r="J1192" s="156">
        <v>666.66</v>
      </c>
      <c r="K1192" s="131">
        <f t="shared" si="107"/>
        <v>1023.8599999999999</v>
      </c>
      <c r="L1192" s="134">
        <v>0.1792</v>
      </c>
    </row>
    <row r="1193" spans="3:12">
      <c r="C1193" s="161">
        <f t="shared" si="105"/>
        <v>2018</v>
      </c>
      <c r="D1193" s="35" t="s">
        <v>278</v>
      </c>
      <c r="E1193" s="227">
        <v>43344</v>
      </c>
      <c r="F1193" s="156">
        <v>100215.36</v>
      </c>
      <c r="G1193" s="131">
        <f t="shared" si="106"/>
        <v>17958.592511999999</v>
      </c>
      <c r="H1193" s="156">
        <v>358.55</v>
      </c>
      <c r="I1193" s="156">
        <v>3153.3</v>
      </c>
      <c r="J1193" s="156">
        <v>252.78</v>
      </c>
      <c r="K1193" s="131">
        <f t="shared" si="107"/>
        <v>3764.6300000000006</v>
      </c>
      <c r="L1193" s="134">
        <v>0.1792</v>
      </c>
    </row>
    <row r="1194" spans="3:12">
      <c r="C1194" s="161">
        <f t="shared" si="105"/>
        <v>2018</v>
      </c>
      <c r="D1194" s="35" t="s">
        <v>278</v>
      </c>
      <c r="E1194" s="227">
        <v>43374</v>
      </c>
      <c r="F1194" s="156">
        <v>98636.7</v>
      </c>
      <c r="G1194" s="131">
        <f t="shared" si="106"/>
        <v>17675.696639999998</v>
      </c>
      <c r="H1194" s="156">
        <v>363.99</v>
      </c>
      <c r="I1194" s="156">
        <v>12166.29</v>
      </c>
      <c r="J1194" s="156">
        <v>0</v>
      </c>
      <c r="K1194" s="131">
        <f t="shared" si="107"/>
        <v>12530.28</v>
      </c>
      <c r="L1194" s="134">
        <v>0.1792</v>
      </c>
    </row>
    <row r="1195" spans="3:12">
      <c r="C1195" s="161">
        <f t="shared" si="105"/>
        <v>2018</v>
      </c>
      <c r="D1195" s="35" t="s">
        <v>278</v>
      </c>
      <c r="E1195" s="227">
        <v>43405</v>
      </c>
      <c r="F1195" s="156">
        <v>102299.95215</v>
      </c>
      <c r="G1195" s="131">
        <f t="shared" si="106"/>
        <v>18332.151425280001</v>
      </c>
      <c r="H1195" s="156">
        <v>351.94</v>
      </c>
      <c r="I1195" s="156">
        <v>636.85</v>
      </c>
      <c r="J1195" s="156">
        <v>43222.5</v>
      </c>
      <c r="K1195" s="131">
        <f t="shared" si="107"/>
        <v>44211.29</v>
      </c>
      <c r="L1195" s="134">
        <v>0.1792</v>
      </c>
    </row>
    <row r="1196" spans="3:12">
      <c r="C1196" s="161">
        <f t="shared" si="105"/>
        <v>2018</v>
      </c>
      <c r="D1196" s="35" t="s">
        <v>278</v>
      </c>
      <c r="E1196" s="227">
        <v>43435</v>
      </c>
      <c r="F1196" s="156">
        <v>106645.61</v>
      </c>
      <c r="G1196" s="131">
        <f t="shared" si="106"/>
        <v>19110.893312</v>
      </c>
      <c r="H1196" s="156">
        <v>0</v>
      </c>
      <c r="I1196" s="156">
        <v>1161.4100000000001</v>
      </c>
      <c r="J1196" s="156">
        <v>0</v>
      </c>
      <c r="K1196" s="131">
        <f t="shared" si="107"/>
        <v>1161.4100000000001</v>
      </c>
      <c r="L1196" s="134">
        <v>0.1792</v>
      </c>
    </row>
    <row r="1197" spans="3:12">
      <c r="C1197" s="161">
        <f t="shared" si="105"/>
        <v>2019</v>
      </c>
      <c r="D1197" s="35" t="s">
        <v>278</v>
      </c>
      <c r="E1197" s="227">
        <v>43466</v>
      </c>
      <c r="F1197" s="156">
        <v>104628.16</v>
      </c>
      <c r="G1197" s="131">
        <f t="shared" si="106"/>
        <v>18749.366271999999</v>
      </c>
      <c r="H1197" s="156">
        <v>48.24</v>
      </c>
      <c r="I1197" s="156">
        <v>719.85</v>
      </c>
      <c r="J1197" s="156">
        <v>0</v>
      </c>
      <c r="K1197" s="131">
        <f t="shared" si="107"/>
        <v>768.09</v>
      </c>
      <c r="L1197" s="134">
        <v>0.1792</v>
      </c>
    </row>
    <row r="1198" spans="3:12">
      <c r="C1198" s="161">
        <f t="shared" si="105"/>
        <v>2019</v>
      </c>
      <c r="D1198" s="35" t="s">
        <v>278</v>
      </c>
      <c r="E1198" s="227">
        <v>43497</v>
      </c>
      <c r="F1198" s="156">
        <v>106607.94</v>
      </c>
      <c r="G1198" s="131">
        <f t="shared" si="106"/>
        <v>19104.142848</v>
      </c>
      <c r="H1198" s="156">
        <v>470.37</v>
      </c>
      <c r="I1198" s="156">
        <v>0</v>
      </c>
      <c r="J1198" s="156">
        <v>0</v>
      </c>
      <c r="K1198" s="131">
        <f t="shared" si="107"/>
        <v>470.37</v>
      </c>
      <c r="L1198" s="134">
        <v>0.1792</v>
      </c>
    </row>
    <row r="1199" spans="3:12">
      <c r="C1199" s="161">
        <f t="shared" si="105"/>
        <v>2019</v>
      </c>
      <c r="D1199" s="35" t="s">
        <v>278</v>
      </c>
      <c r="E1199" s="227">
        <v>43525</v>
      </c>
      <c r="F1199" s="156">
        <v>93209.3</v>
      </c>
      <c r="G1199" s="131">
        <f t="shared" si="106"/>
        <v>16703.10656</v>
      </c>
      <c r="H1199" s="156">
        <v>87.62</v>
      </c>
      <c r="I1199" s="156">
        <v>719.85</v>
      </c>
      <c r="J1199" s="156">
        <v>0</v>
      </c>
      <c r="K1199" s="131">
        <f t="shared" si="107"/>
        <v>807.47</v>
      </c>
      <c r="L1199" s="134">
        <v>0.1792</v>
      </c>
    </row>
    <row r="1200" spans="3:12">
      <c r="C1200" s="161">
        <f t="shared" si="105"/>
        <v>2019</v>
      </c>
      <c r="D1200" s="35" t="s">
        <v>278</v>
      </c>
      <c r="E1200" s="227">
        <v>43556</v>
      </c>
      <c r="F1200" s="156">
        <v>106089.74</v>
      </c>
      <c r="G1200" s="131">
        <f t="shared" si="106"/>
        <v>19011.281408000003</v>
      </c>
      <c r="H1200" s="156">
        <v>92.35</v>
      </c>
      <c r="I1200" s="156">
        <v>379.72</v>
      </c>
      <c r="J1200" s="156">
        <v>1100.1099999999999</v>
      </c>
      <c r="K1200" s="131">
        <f t="shared" si="107"/>
        <v>1572.1799999999998</v>
      </c>
      <c r="L1200" s="134">
        <v>0.1792</v>
      </c>
    </row>
    <row r="1201" spans="3:12">
      <c r="C1201" s="161">
        <f t="shared" si="105"/>
        <v>2019</v>
      </c>
      <c r="D1201" s="35" t="s">
        <v>278</v>
      </c>
      <c r="E1201" s="227">
        <v>43586</v>
      </c>
      <c r="F1201" s="156">
        <v>102451.79</v>
      </c>
      <c r="G1201" s="131">
        <f t="shared" si="106"/>
        <v>18359.360767999999</v>
      </c>
      <c r="H1201" s="156">
        <v>7912.66</v>
      </c>
      <c r="I1201" s="156">
        <v>5605.31</v>
      </c>
      <c r="J1201" s="156">
        <v>0</v>
      </c>
      <c r="K1201" s="131">
        <f t="shared" si="107"/>
        <v>13517.970000000001</v>
      </c>
      <c r="L1201" s="134">
        <v>0.1792</v>
      </c>
    </row>
    <row r="1202" spans="3:12">
      <c r="C1202" s="161">
        <f t="shared" si="105"/>
        <v>2019</v>
      </c>
      <c r="D1202" s="35" t="s">
        <v>278</v>
      </c>
      <c r="E1202" s="227">
        <v>43617</v>
      </c>
      <c r="F1202" s="156">
        <v>103040.58</v>
      </c>
      <c r="G1202" s="131">
        <f t="shared" si="106"/>
        <v>18464.871936</v>
      </c>
      <c r="H1202" s="156">
        <v>597.38</v>
      </c>
      <c r="I1202" s="156">
        <v>4257.9799999999996</v>
      </c>
      <c r="J1202" s="156">
        <v>0</v>
      </c>
      <c r="K1202" s="131">
        <f t="shared" si="107"/>
        <v>4855.3599999999997</v>
      </c>
      <c r="L1202" s="134">
        <v>0.1792</v>
      </c>
    </row>
    <row r="1203" spans="3:12">
      <c r="C1203" s="161">
        <f t="shared" si="105"/>
        <v>2019</v>
      </c>
      <c r="D1203" s="35" t="s">
        <v>278</v>
      </c>
      <c r="E1203" s="227">
        <v>43647</v>
      </c>
      <c r="F1203" s="156">
        <v>110260.76</v>
      </c>
      <c r="G1203" s="131">
        <f t="shared" si="106"/>
        <v>19758.728191999999</v>
      </c>
      <c r="H1203" s="156">
        <v>3299.12</v>
      </c>
      <c r="I1203" s="156">
        <v>10292.19</v>
      </c>
      <c r="J1203" s="156">
        <v>1816.3</v>
      </c>
      <c r="K1203" s="131">
        <f t="shared" si="107"/>
        <v>15407.61</v>
      </c>
      <c r="L1203" s="134">
        <v>0.1792</v>
      </c>
    </row>
    <row r="1204" spans="3:12">
      <c r="C1204" s="161">
        <f t="shared" si="105"/>
        <v>2019</v>
      </c>
      <c r="D1204" s="35" t="s">
        <v>278</v>
      </c>
      <c r="E1204" s="227">
        <v>43678</v>
      </c>
      <c r="F1204" s="156">
        <v>109902.95</v>
      </c>
      <c r="G1204" s="131">
        <f t="shared" si="106"/>
        <v>19694.608639999999</v>
      </c>
      <c r="H1204" s="156">
        <v>207.52</v>
      </c>
      <c r="I1204" s="156">
        <v>0</v>
      </c>
      <c r="J1204" s="156">
        <v>0</v>
      </c>
      <c r="K1204" s="131">
        <f t="shared" si="107"/>
        <v>207.52</v>
      </c>
      <c r="L1204" s="134">
        <v>0.1792</v>
      </c>
    </row>
    <row r="1205" spans="3:12">
      <c r="C1205" s="161">
        <f t="shared" si="105"/>
        <v>2019</v>
      </c>
      <c r="D1205" s="35" t="s">
        <v>278</v>
      </c>
      <c r="E1205" s="227">
        <v>43709</v>
      </c>
      <c r="F1205" s="156">
        <v>136600.13</v>
      </c>
      <c r="G1205" s="131">
        <f t="shared" si="106"/>
        <v>24478.743296000001</v>
      </c>
      <c r="H1205" s="156">
        <v>187</v>
      </c>
      <c r="I1205" s="156">
        <v>0</v>
      </c>
      <c r="J1205" s="156">
        <v>0</v>
      </c>
      <c r="K1205" s="131">
        <f t="shared" si="107"/>
        <v>187</v>
      </c>
      <c r="L1205" s="134">
        <v>0.1792</v>
      </c>
    </row>
    <row r="1206" spans="3:12">
      <c r="C1206" s="161">
        <f t="shared" si="105"/>
        <v>2019</v>
      </c>
      <c r="D1206" s="35" t="s">
        <v>278</v>
      </c>
      <c r="E1206" s="227">
        <v>43739</v>
      </c>
      <c r="F1206" s="156">
        <v>115979.5</v>
      </c>
      <c r="G1206" s="131">
        <f t="shared" si="106"/>
        <v>20783.526399999999</v>
      </c>
      <c r="H1206" s="156">
        <v>5974.98</v>
      </c>
      <c r="I1206" s="156">
        <v>118490.9</v>
      </c>
      <c r="J1206" s="156">
        <v>0</v>
      </c>
      <c r="K1206" s="131">
        <f t="shared" si="107"/>
        <v>124465.87999999999</v>
      </c>
      <c r="L1206" s="134">
        <v>0.1792</v>
      </c>
    </row>
    <row r="1207" spans="3:12">
      <c r="C1207" s="161">
        <f t="shared" si="105"/>
        <v>2019</v>
      </c>
      <c r="D1207" s="35" t="s">
        <v>278</v>
      </c>
      <c r="E1207" s="227">
        <v>43770</v>
      </c>
      <c r="F1207" s="156">
        <v>127242.09</v>
      </c>
      <c r="G1207" s="131">
        <f t="shared" si="106"/>
        <v>22801.782528</v>
      </c>
      <c r="H1207" s="156">
        <v>884.26</v>
      </c>
      <c r="I1207" s="156">
        <v>43832.76</v>
      </c>
      <c r="J1207" s="156">
        <v>0</v>
      </c>
      <c r="K1207" s="131">
        <f t="shared" si="107"/>
        <v>44717.020000000004</v>
      </c>
      <c r="L1207" s="134">
        <v>0.1792</v>
      </c>
    </row>
    <row r="1208" spans="3:12">
      <c r="C1208" s="161">
        <f t="shared" si="105"/>
        <v>2019</v>
      </c>
      <c r="D1208" s="35" t="s">
        <v>278</v>
      </c>
      <c r="E1208" s="227">
        <v>43800</v>
      </c>
      <c r="F1208" s="156">
        <v>112659.67</v>
      </c>
      <c r="G1208" s="131">
        <f t="shared" si="106"/>
        <v>20188.612863999999</v>
      </c>
      <c r="H1208" s="156">
        <v>465.81</v>
      </c>
      <c r="I1208" s="156">
        <v>0</v>
      </c>
      <c r="J1208" s="156">
        <v>0</v>
      </c>
      <c r="K1208" s="131">
        <f t="shared" si="107"/>
        <v>465.81</v>
      </c>
      <c r="L1208" s="134">
        <v>0.1792</v>
      </c>
    </row>
    <row r="1209" spans="3:12">
      <c r="C1209" s="161">
        <f t="shared" si="105"/>
        <v>2020</v>
      </c>
      <c r="D1209" s="35" t="s">
        <v>278</v>
      </c>
      <c r="E1209" s="227">
        <v>43831</v>
      </c>
      <c r="F1209" s="156">
        <v>114269</v>
      </c>
      <c r="G1209" s="131">
        <f t="shared" si="106"/>
        <v>20477.004799999999</v>
      </c>
      <c r="H1209" s="156">
        <v>137.19</v>
      </c>
      <c r="I1209" s="156">
        <v>0</v>
      </c>
      <c r="J1209" s="156">
        <v>0</v>
      </c>
      <c r="K1209" s="131">
        <f t="shared" si="107"/>
        <v>137.19</v>
      </c>
      <c r="L1209" s="134">
        <v>0.1792</v>
      </c>
    </row>
    <row r="1210" spans="3:12">
      <c r="C1210" s="161">
        <f t="shared" si="105"/>
        <v>2020</v>
      </c>
      <c r="D1210" s="35" t="s">
        <v>278</v>
      </c>
      <c r="E1210" s="227">
        <v>43862</v>
      </c>
      <c r="F1210" s="156">
        <v>114554.13</v>
      </c>
      <c r="G1210" s="131">
        <f t="shared" si="106"/>
        <v>20528.100096000002</v>
      </c>
      <c r="H1210" s="156">
        <v>692.54</v>
      </c>
      <c r="I1210" s="156">
        <v>278.33</v>
      </c>
      <c r="J1210" s="156">
        <v>0</v>
      </c>
      <c r="K1210" s="131">
        <f t="shared" si="107"/>
        <v>970.86999999999989</v>
      </c>
      <c r="L1210" s="134">
        <v>0.1792</v>
      </c>
    </row>
    <row r="1211" spans="3:12">
      <c r="C1211" s="161">
        <f t="shared" si="105"/>
        <v>2020</v>
      </c>
      <c r="D1211" s="35" t="s">
        <v>278</v>
      </c>
      <c r="E1211" s="227">
        <v>43891</v>
      </c>
      <c r="F1211" s="156">
        <v>121693.31789999999</v>
      </c>
      <c r="G1211" s="131">
        <f t="shared" si="106"/>
        <v>21807.442567679998</v>
      </c>
      <c r="H1211" s="156">
        <v>577.75</v>
      </c>
      <c r="I1211" s="156">
        <v>125.17</v>
      </c>
      <c r="J1211" s="156">
        <v>0</v>
      </c>
      <c r="K1211" s="131">
        <f t="shared" si="107"/>
        <v>702.92</v>
      </c>
      <c r="L1211" s="134">
        <v>0.1792</v>
      </c>
    </row>
    <row r="1212" spans="3:12">
      <c r="C1212" s="161">
        <f t="shared" si="105"/>
        <v>2020</v>
      </c>
      <c r="D1212" s="35" t="s">
        <v>278</v>
      </c>
      <c r="E1212" s="227">
        <v>43922</v>
      </c>
      <c r="F1212" s="156">
        <v>115984.226325</v>
      </c>
      <c r="G1212" s="131">
        <f t="shared" si="106"/>
        <v>20784.373357439999</v>
      </c>
      <c r="H1212" s="156">
        <v>204.8</v>
      </c>
      <c r="I1212" s="156">
        <v>100.19</v>
      </c>
      <c r="J1212" s="156">
        <v>0</v>
      </c>
      <c r="K1212" s="131">
        <f t="shared" si="107"/>
        <v>304.99</v>
      </c>
      <c r="L1212" s="134">
        <v>0.1792</v>
      </c>
    </row>
    <row r="1213" spans="3:12">
      <c r="C1213" s="161">
        <f t="shared" si="105"/>
        <v>2020</v>
      </c>
      <c r="D1213" s="35" t="s">
        <v>278</v>
      </c>
      <c r="E1213" s="227">
        <v>43952</v>
      </c>
      <c r="F1213" s="156">
        <v>110727.46</v>
      </c>
      <c r="G1213" s="131">
        <f t="shared" si="106"/>
        <v>19842.360832000002</v>
      </c>
      <c r="H1213" s="156">
        <v>792.43</v>
      </c>
      <c r="I1213" s="156">
        <v>0</v>
      </c>
      <c r="J1213" s="156">
        <v>0</v>
      </c>
      <c r="K1213" s="131">
        <f t="shared" si="107"/>
        <v>792.43</v>
      </c>
      <c r="L1213" s="134">
        <v>0.1792</v>
      </c>
    </row>
    <row r="1214" spans="3:12">
      <c r="C1214" s="161">
        <f t="shared" si="105"/>
        <v>2020</v>
      </c>
      <c r="D1214" s="35" t="s">
        <v>278</v>
      </c>
      <c r="E1214" s="227">
        <v>43983</v>
      </c>
      <c r="F1214" s="156">
        <v>107522.39</v>
      </c>
      <c r="G1214" s="131">
        <f t="shared" si="106"/>
        <v>19268.012287999998</v>
      </c>
      <c r="H1214" s="156">
        <v>476.17</v>
      </c>
      <c r="I1214" s="156">
        <v>662.32</v>
      </c>
      <c r="J1214" s="156">
        <v>0</v>
      </c>
      <c r="K1214" s="131">
        <f t="shared" si="107"/>
        <v>1138.49</v>
      </c>
      <c r="L1214" s="134">
        <v>0.1792</v>
      </c>
    </row>
    <row r="1215" spans="3:12">
      <c r="C1215" s="161">
        <f t="shared" si="105"/>
        <v>2020</v>
      </c>
      <c r="D1215" s="35" t="s">
        <v>278</v>
      </c>
      <c r="E1215" s="227">
        <v>44013</v>
      </c>
      <c r="F1215" s="156">
        <v>108183.94</v>
      </c>
      <c r="G1215" s="131">
        <f t="shared" si="106"/>
        <v>19386.562048</v>
      </c>
      <c r="H1215" s="156">
        <v>11813.75</v>
      </c>
      <c r="I1215" s="156">
        <v>552.99</v>
      </c>
      <c r="J1215" s="156">
        <v>0</v>
      </c>
      <c r="K1215" s="131">
        <f t="shared" si="107"/>
        <v>12366.74</v>
      </c>
      <c r="L1215" s="134">
        <v>0.1792</v>
      </c>
    </row>
    <row r="1216" spans="3:12">
      <c r="C1216" s="161">
        <f t="shared" si="105"/>
        <v>2020</v>
      </c>
      <c r="D1216" s="35" t="s">
        <v>278</v>
      </c>
      <c r="E1216" s="227">
        <v>44044</v>
      </c>
      <c r="F1216" s="156">
        <v>114176.86</v>
      </c>
      <c r="G1216" s="131">
        <f t="shared" si="106"/>
        <v>20460.493311999999</v>
      </c>
      <c r="H1216" s="156">
        <v>473.28</v>
      </c>
      <c r="I1216" s="156">
        <v>1335.07</v>
      </c>
      <c r="J1216" s="156">
        <v>0</v>
      </c>
      <c r="K1216" s="131">
        <f t="shared" si="107"/>
        <v>1808.35</v>
      </c>
      <c r="L1216" s="134">
        <v>0.1792</v>
      </c>
    </row>
    <row r="1217" spans="3:12">
      <c r="C1217" s="161">
        <f t="shared" si="105"/>
        <v>2020</v>
      </c>
      <c r="D1217" s="35" t="s">
        <v>278</v>
      </c>
      <c r="E1217" s="227">
        <v>44075</v>
      </c>
      <c r="F1217" s="156">
        <v>116859.49</v>
      </c>
      <c r="G1217" s="131">
        <f t="shared" si="106"/>
        <v>20941.220608</v>
      </c>
      <c r="H1217" s="156">
        <v>5034.68</v>
      </c>
      <c r="I1217" s="156">
        <v>311.31</v>
      </c>
      <c r="J1217" s="156">
        <v>0</v>
      </c>
      <c r="K1217" s="131">
        <f t="shared" si="107"/>
        <v>5345.9900000000007</v>
      </c>
      <c r="L1217" s="134">
        <v>0.1792</v>
      </c>
    </row>
    <row r="1218" spans="3:12">
      <c r="C1218" s="161">
        <f t="shared" si="105"/>
        <v>2020</v>
      </c>
      <c r="D1218" s="35" t="s">
        <v>278</v>
      </c>
      <c r="E1218" s="227">
        <v>44105</v>
      </c>
      <c r="F1218" s="156">
        <v>121868.4</v>
      </c>
      <c r="G1218" s="131">
        <f t="shared" si="106"/>
        <v>21838.817279999999</v>
      </c>
      <c r="H1218" s="156">
        <v>374.82</v>
      </c>
      <c r="I1218" s="156">
        <v>0</v>
      </c>
      <c r="J1218" s="156">
        <v>0</v>
      </c>
      <c r="K1218" s="131">
        <f t="shared" si="107"/>
        <v>374.82</v>
      </c>
      <c r="L1218" s="134">
        <v>0.1792</v>
      </c>
    </row>
    <row r="1219" spans="3:12">
      <c r="C1219" s="161">
        <f t="shared" si="105"/>
        <v>2020</v>
      </c>
      <c r="D1219" s="35" t="s">
        <v>278</v>
      </c>
      <c r="E1219" s="227">
        <v>44136</v>
      </c>
      <c r="F1219" s="156">
        <v>113352.26</v>
      </c>
      <c r="G1219" s="131">
        <f t="shared" si="106"/>
        <v>20312.724991999999</v>
      </c>
      <c r="H1219" s="156">
        <v>2127.0500000000002</v>
      </c>
      <c r="I1219" s="156">
        <v>0</v>
      </c>
      <c r="J1219" s="156">
        <v>0</v>
      </c>
      <c r="K1219" s="131">
        <f t="shared" si="107"/>
        <v>2127.0500000000002</v>
      </c>
      <c r="L1219" s="134">
        <v>0.1792</v>
      </c>
    </row>
    <row r="1220" spans="3:12">
      <c r="C1220" s="161">
        <f t="shared" ref="C1220:C1283" si="108">YEAR(E1220)</f>
        <v>2020</v>
      </c>
      <c r="D1220" s="35" t="s">
        <v>278</v>
      </c>
      <c r="E1220" s="227">
        <v>44166</v>
      </c>
      <c r="F1220" s="156">
        <v>119560.6</v>
      </c>
      <c r="G1220" s="131">
        <f t="shared" ref="G1220:G1283" si="109">F1220*L1220</f>
        <v>21425.25952</v>
      </c>
      <c r="H1220" s="156">
        <v>370.65</v>
      </c>
      <c r="I1220" s="156">
        <v>450.22</v>
      </c>
      <c r="J1220" s="156">
        <v>0</v>
      </c>
      <c r="K1220" s="131">
        <f t="shared" ref="K1220:K1283" si="110">SUM(H1220:J1220)</f>
        <v>820.87</v>
      </c>
      <c r="L1220" s="134">
        <v>0.1792</v>
      </c>
    </row>
    <row r="1221" spans="3:12">
      <c r="C1221" s="161">
        <f t="shared" si="108"/>
        <v>2021</v>
      </c>
      <c r="D1221" s="35" t="s">
        <v>278</v>
      </c>
      <c r="E1221" s="227">
        <v>44197</v>
      </c>
      <c r="F1221" s="156">
        <v>120424.31</v>
      </c>
      <c r="G1221" s="131">
        <f t="shared" si="109"/>
        <v>21580.036351999999</v>
      </c>
      <c r="H1221" s="156">
        <v>342.85</v>
      </c>
      <c r="I1221" s="156">
        <v>0</v>
      </c>
      <c r="J1221" s="156">
        <v>0</v>
      </c>
      <c r="K1221" s="131">
        <f t="shared" si="110"/>
        <v>342.85</v>
      </c>
      <c r="L1221" s="134">
        <v>0.1792</v>
      </c>
    </row>
    <row r="1222" spans="3:12">
      <c r="C1222" s="161">
        <f t="shared" si="108"/>
        <v>2021</v>
      </c>
      <c r="D1222" s="35" t="s">
        <v>278</v>
      </c>
      <c r="E1222" s="227">
        <v>44229</v>
      </c>
      <c r="F1222" s="156">
        <v>114166.05</v>
      </c>
      <c r="G1222" s="131">
        <f t="shared" si="109"/>
        <v>20458.55616</v>
      </c>
      <c r="H1222" s="156">
        <v>4157.68</v>
      </c>
      <c r="I1222" s="156">
        <v>447.14</v>
      </c>
      <c r="J1222" s="156">
        <v>0</v>
      </c>
      <c r="K1222" s="131">
        <f t="shared" si="110"/>
        <v>4604.8200000000006</v>
      </c>
      <c r="L1222" s="134">
        <v>0.1792</v>
      </c>
    </row>
    <row r="1223" spans="3:12">
      <c r="C1223" s="161">
        <f t="shared" si="108"/>
        <v>2021</v>
      </c>
      <c r="D1223" s="35" t="s">
        <v>278</v>
      </c>
      <c r="E1223" s="227">
        <v>44258</v>
      </c>
      <c r="F1223" s="156">
        <v>103927.45</v>
      </c>
      <c r="G1223" s="131">
        <f t="shared" si="109"/>
        <v>18623.799039999998</v>
      </c>
      <c r="H1223" s="156">
        <v>5244.02</v>
      </c>
      <c r="I1223" s="156">
        <v>2139.7399999999998</v>
      </c>
      <c r="J1223" s="156">
        <v>0</v>
      </c>
      <c r="K1223" s="131">
        <f t="shared" si="110"/>
        <v>7383.76</v>
      </c>
      <c r="L1223" s="134">
        <v>0.1792</v>
      </c>
    </row>
    <row r="1224" spans="3:12">
      <c r="C1224" s="161">
        <f t="shared" si="108"/>
        <v>2021</v>
      </c>
      <c r="D1224" s="35" t="s">
        <v>278</v>
      </c>
      <c r="E1224" s="227">
        <v>44290</v>
      </c>
      <c r="F1224" s="156">
        <v>114658.46</v>
      </c>
      <c r="G1224" s="131">
        <f t="shared" si="109"/>
        <v>20546.796032000002</v>
      </c>
      <c r="H1224" s="156">
        <v>1672.15</v>
      </c>
      <c r="I1224" s="156">
        <v>22400</v>
      </c>
      <c r="J1224" s="156">
        <v>0</v>
      </c>
      <c r="K1224" s="131">
        <f t="shared" si="110"/>
        <v>24072.15</v>
      </c>
      <c r="L1224" s="134">
        <v>0.1792</v>
      </c>
    </row>
    <row r="1225" spans="3:12">
      <c r="C1225" s="161">
        <f t="shared" si="108"/>
        <v>2021</v>
      </c>
      <c r="D1225" s="35" t="s">
        <v>278</v>
      </c>
      <c r="E1225" s="227">
        <v>44321</v>
      </c>
      <c r="F1225" s="156">
        <v>109989.06</v>
      </c>
      <c r="G1225" s="131">
        <f t="shared" si="109"/>
        <v>19710.039551999998</v>
      </c>
      <c r="H1225" s="156">
        <v>2555.08</v>
      </c>
      <c r="I1225" s="156">
        <v>124.92</v>
      </c>
      <c r="J1225" s="156">
        <v>0</v>
      </c>
      <c r="K1225" s="131">
        <f t="shared" si="110"/>
        <v>2680</v>
      </c>
      <c r="L1225" s="134">
        <v>0.1792</v>
      </c>
    </row>
    <row r="1226" spans="3:12">
      <c r="C1226" s="161">
        <f t="shared" si="108"/>
        <v>2021</v>
      </c>
      <c r="D1226" s="35" t="s">
        <v>278</v>
      </c>
      <c r="E1226" s="227">
        <v>44353</v>
      </c>
      <c r="F1226" s="156">
        <v>112480.78</v>
      </c>
      <c r="G1226" s="131">
        <f t="shared" si="109"/>
        <v>20156.555776000001</v>
      </c>
      <c r="H1226" s="156">
        <v>2576.75</v>
      </c>
      <c r="I1226" s="156">
        <v>41.64</v>
      </c>
      <c r="J1226" s="156">
        <v>0</v>
      </c>
      <c r="K1226" s="131">
        <f t="shared" si="110"/>
        <v>2618.39</v>
      </c>
      <c r="L1226" s="134">
        <v>0.1792</v>
      </c>
    </row>
    <row r="1227" spans="3:12">
      <c r="C1227" s="161">
        <f t="shared" si="108"/>
        <v>2015</v>
      </c>
      <c r="D1227" s="35" t="s">
        <v>279</v>
      </c>
      <c r="E1227" s="227">
        <v>42309</v>
      </c>
      <c r="F1227" s="156">
        <v>709806.42</v>
      </c>
      <c r="G1227" s="131">
        <f t="shared" si="109"/>
        <v>127197.31046400001</v>
      </c>
      <c r="H1227" s="156">
        <v>102901.21</v>
      </c>
      <c r="I1227" s="156">
        <v>125641.01</v>
      </c>
      <c r="J1227" s="156">
        <v>0</v>
      </c>
      <c r="K1227" s="131">
        <f t="shared" si="110"/>
        <v>228542.22</v>
      </c>
      <c r="L1227" s="134">
        <v>0.1792</v>
      </c>
    </row>
    <row r="1228" spans="3:12">
      <c r="C1228" s="161">
        <f t="shared" si="108"/>
        <v>2015</v>
      </c>
      <c r="D1228" s="35" t="s">
        <v>279</v>
      </c>
      <c r="E1228" s="227">
        <v>42339</v>
      </c>
      <c r="F1228" s="156">
        <v>675566.84</v>
      </c>
      <c r="G1228" s="131">
        <f t="shared" si="109"/>
        <v>121061.57772799999</v>
      </c>
      <c r="H1228" s="156">
        <v>3429.04</v>
      </c>
      <c r="I1228" s="156">
        <v>30.74</v>
      </c>
      <c r="J1228" s="156">
        <v>0</v>
      </c>
      <c r="K1228" s="131">
        <f t="shared" si="110"/>
        <v>3459.7799999999997</v>
      </c>
      <c r="L1228" s="134">
        <v>0.1792</v>
      </c>
    </row>
    <row r="1229" spans="3:12">
      <c r="C1229" s="161">
        <f t="shared" si="108"/>
        <v>2016</v>
      </c>
      <c r="D1229" s="35" t="s">
        <v>279</v>
      </c>
      <c r="E1229" s="227">
        <v>42370</v>
      </c>
      <c r="F1229" s="156">
        <v>636166.84</v>
      </c>
      <c r="G1229" s="131">
        <f t="shared" si="109"/>
        <v>114001.09772799999</v>
      </c>
      <c r="H1229" s="156">
        <v>50202.92</v>
      </c>
      <c r="I1229" s="156">
        <v>0</v>
      </c>
      <c r="J1229" s="156">
        <v>0</v>
      </c>
      <c r="K1229" s="131">
        <f t="shared" si="110"/>
        <v>50202.92</v>
      </c>
      <c r="L1229" s="134">
        <v>0.1792</v>
      </c>
    </row>
    <row r="1230" spans="3:12">
      <c r="C1230" s="161">
        <f t="shared" si="108"/>
        <v>2016</v>
      </c>
      <c r="D1230" s="35" t="s">
        <v>279</v>
      </c>
      <c r="E1230" s="227">
        <v>42401</v>
      </c>
      <c r="F1230" s="156">
        <v>687569.31</v>
      </c>
      <c r="G1230" s="131">
        <f t="shared" si="109"/>
        <v>123212.42035200002</v>
      </c>
      <c r="H1230" s="156">
        <v>5444.06</v>
      </c>
      <c r="I1230" s="156">
        <v>0</v>
      </c>
      <c r="J1230" s="156">
        <v>0</v>
      </c>
      <c r="K1230" s="131">
        <f t="shared" si="110"/>
        <v>5444.06</v>
      </c>
      <c r="L1230" s="134">
        <v>0.1792</v>
      </c>
    </row>
    <row r="1231" spans="3:12">
      <c r="C1231" s="161">
        <f t="shared" si="108"/>
        <v>2016</v>
      </c>
      <c r="D1231" s="35" t="s">
        <v>279</v>
      </c>
      <c r="E1231" s="227">
        <v>42430</v>
      </c>
      <c r="F1231" s="156">
        <v>652628.11</v>
      </c>
      <c r="G1231" s="131">
        <f t="shared" si="109"/>
        <v>116950.957312</v>
      </c>
      <c r="H1231" s="156">
        <v>2640.87</v>
      </c>
      <c r="I1231" s="156">
        <v>117.81</v>
      </c>
      <c r="J1231" s="156">
        <v>0</v>
      </c>
      <c r="K1231" s="131">
        <f t="shared" si="110"/>
        <v>2758.68</v>
      </c>
      <c r="L1231" s="134">
        <v>0.1792</v>
      </c>
    </row>
    <row r="1232" spans="3:12">
      <c r="C1232" s="161">
        <f t="shared" si="108"/>
        <v>2016</v>
      </c>
      <c r="D1232" s="35" t="s">
        <v>279</v>
      </c>
      <c r="E1232" s="227">
        <v>42461</v>
      </c>
      <c r="F1232" s="156">
        <v>739760.07</v>
      </c>
      <c r="G1232" s="131">
        <f t="shared" si="109"/>
        <v>132565.004544</v>
      </c>
      <c r="H1232" s="156">
        <v>37037.599999999999</v>
      </c>
      <c r="I1232" s="156">
        <v>0</v>
      </c>
      <c r="J1232" s="156">
        <v>0</v>
      </c>
      <c r="K1232" s="131">
        <f t="shared" si="110"/>
        <v>37037.599999999999</v>
      </c>
      <c r="L1232" s="134">
        <v>0.1792</v>
      </c>
    </row>
    <row r="1233" spans="3:12">
      <c r="C1233" s="161">
        <f t="shared" si="108"/>
        <v>2016</v>
      </c>
      <c r="D1233" s="35" t="s">
        <v>279</v>
      </c>
      <c r="E1233" s="227">
        <v>42491</v>
      </c>
      <c r="F1233" s="156">
        <v>665513.75</v>
      </c>
      <c r="G1233" s="131">
        <f t="shared" si="109"/>
        <v>119260.064</v>
      </c>
      <c r="H1233" s="156">
        <v>4322.3</v>
      </c>
      <c r="I1233" s="156">
        <v>158.32</v>
      </c>
      <c r="J1233" s="156">
        <v>0</v>
      </c>
      <c r="K1233" s="131">
        <f t="shared" si="110"/>
        <v>4480.62</v>
      </c>
      <c r="L1233" s="134">
        <v>0.1792</v>
      </c>
    </row>
    <row r="1234" spans="3:12">
      <c r="C1234" s="161">
        <f t="shared" si="108"/>
        <v>2016</v>
      </c>
      <c r="D1234" s="35" t="s">
        <v>279</v>
      </c>
      <c r="E1234" s="227">
        <v>42522</v>
      </c>
      <c r="F1234" s="156">
        <v>665522.38</v>
      </c>
      <c r="G1234" s="131">
        <f t="shared" si="109"/>
        <v>119261.61049599999</v>
      </c>
      <c r="H1234" s="156">
        <v>4362.63</v>
      </c>
      <c r="I1234" s="156">
        <v>0</v>
      </c>
      <c r="J1234" s="156">
        <v>11991.06</v>
      </c>
      <c r="K1234" s="131">
        <f t="shared" si="110"/>
        <v>16353.689999999999</v>
      </c>
      <c r="L1234" s="134">
        <v>0.1792</v>
      </c>
    </row>
    <row r="1235" spans="3:12">
      <c r="C1235" s="161">
        <f t="shared" si="108"/>
        <v>2016</v>
      </c>
      <c r="D1235" s="35" t="s">
        <v>279</v>
      </c>
      <c r="E1235" s="227">
        <v>42552</v>
      </c>
      <c r="F1235" s="156">
        <v>751914.1</v>
      </c>
      <c r="G1235" s="131">
        <f t="shared" si="109"/>
        <v>134743.00672</v>
      </c>
      <c r="H1235" s="156">
        <v>1128414.1599999999</v>
      </c>
      <c r="I1235" s="156">
        <v>1300.27</v>
      </c>
      <c r="J1235" s="156">
        <v>0</v>
      </c>
      <c r="K1235" s="131">
        <f t="shared" si="110"/>
        <v>1129714.43</v>
      </c>
      <c r="L1235" s="134">
        <v>0.1792</v>
      </c>
    </row>
    <row r="1236" spans="3:12">
      <c r="C1236" s="161">
        <f t="shared" si="108"/>
        <v>2016</v>
      </c>
      <c r="D1236" s="35" t="s">
        <v>279</v>
      </c>
      <c r="E1236" s="227">
        <v>42583</v>
      </c>
      <c r="F1236" s="156">
        <v>814712.72</v>
      </c>
      <c r="G1236" s="131">
        <f t="shared" si="109"/>
        <v>145996.519424</v>
      </c>
      <c r="H1236" s="156">
        <v>8935.24</v>
      </c>
      <c r="I1236" s="156">
        <v>2956.89</v>
      </c>
      <c r="J1236" s="156">
        <v>3049.1</v>
      </c>
      <c r="K1236" s="131">
        <f t="shared" si="110"/>
        <v>14941.23</v>
      </c>
      <c r="L1236" s="134">
        <v>0.1792</v>
      </c>
    </row>
    <row r="1237" spans="3:12">
      <c r="C1237" s="161">
        <f t="shared" si="108"/>
        <v>2016</v>
      </c>
      <c r="D1237" s="35" t="s">
        <v>279</v>
      </c>
      <c r="E1237" s="227">
        <v>42614</v>
      </c>
      <c r="F1237" s="156">
        <v>747488.98</v>
      </c>
      <c r="G1237" s="131">
        <f t="shared" si="109"/>
        <v>133950.02521600001</v>
      </c>
      <c r="H1237" s="156">
        <v>8346.56</v>
      </c>
      <c r="I1237" s="156">
        <v>2068288.3</v>
      </c>
      <c r="J1237" s="156">
        <v>0</v>
      </c>
      <c r="K1237" s="131">
        <f t="shared" si="110"/>
        <v>2076634.86</v>
      </c>
      <c r="L1237" s="134">
        <v>0.1792</v>
      </c>
    </row>
    <row r="1238" spans="3:12">
      <c r="C1238" s="161">
        <f t="shared" si="108"/>
        <v>2016</v>
      </c>
      <c r="D1238" s="35" t="s">
        <v>279</v>
      </c>
      <c r="E1238" s="227">
        <v>42644</v>
      </c>
      <c r="F1238" s="156">
        <v>759674.34</v>
      </c>
      <c r="G1238" s="131">
        <f t="shared" si="109"/>
        <v>136133.64172799999</v>
      </c>
      <c r="H1238" s="156">
        <v>3227.36</v>
      </c>
      <c r="I1238" s="156">
        <v>652.08000000000004</v>
      </c>
      <c r="J1238" s="156">
        <v>695.66</v>
      </c>
      <c r="K1238" s="131">
        <f t="shared" si="110"/>
        <v>4575.1000000000004</v>
      </c>
      <c r="L1238" s="134">
        <v>0.1792</v>
      </c>
    </row>
    <row r="1239" spans="3:12">
      <c r="C1239" s="161">
        <f t="shared" si="108"/>
        <v>2016</v>
      </c>
      <c r="D1239" s="35" t="s">
        <v>279</v>
      </c>
      <c r="E1239" s="227">
        <v>42675</v>
      </c>
      <c r="F1239" s="156">
        <v>736503.56</v>
      </c>
      <c r="G1239" s="131">
        <f t="shared" si="109"/>
        <v>131981.43795200001</v>
      </c>
      <c r="H1239" s="156">
        <v>7124.11</v>
      </c>
      <c r="I1239" s="156">
        <v>1092.28</v>
      </c>
      <c r="J1239" s="156">
        <v>0</v>
      </c>
      <c r="K1239" s="131">
        <f t="shared" si="110"/>
        <v>8216.39</v>
      </c>
      <c r="L1239" s="134">
        <v>0.1792</v>
      </c>
    </row>
    <row r="1240" spans="3:12">
      <c r="C1240" s="161">
        <f t="shared" si="108"/>
        <v>2016</v>
      </c>
      <c r="D1240" s="35" t="s">
        <v>279</v>
      </c>
      <c r="E1240" s="227">
        <v>42705</v>
      </c>
      <c r="F1240" s="156">
        <v>757657.73</v>
      </c>
      <c r="G1240" s="131">
        <f t="shared" si="109"/>
        <v>135772.265216</v>
      </c>
      <c r="H1240" s="156">
        <v>4584.05</v>
      </c>
      <c r="I1240" s="156">
        <v>1716.42</v>
      </c>
      <c r="J1240" s="156">
        <v>0</v>
      </c>
      <c r="K1240" s="131">
        <f t="shared" si="110"/>
        <v>6300.47</v>
      </c>
      <c r="L1240" s="134">
        <v>0.1792</v>
      </c>
    </row>
    <row r="1241" spans="3:12">
      <c r="C1241" s="161">
        <f t="shared" si="108"/>
        <v>2017</v>
      </c>
      <c r="D1241" s="35" t="s">
        <v>279</v>
      </c>
      <c r="E1241" s="227">
        <v>42736</v>
      </c>
      <c r="F1241" s="156">
        <v>757415.01</v>
      </c>
      <c r="G1241" s="131">
        <f t="shared" si="109"/>
        <v>135728.76979200001</v>
      </c>
      <c r="H1241" s="156">
        <v>3758.5</v>
      </c>
      <c r="I1241" s="156">
        <v>1102.8699999999999</v>
      </c>
      <c r="J1241" s="156">
        <v>602.20000000000005</v>
      </c>
      <c r="K1241" s="131">
        <f t="shared" si="110"/>
        <v>5463.57</v>
      </c>
      <c r="L1241" s="134">
        <v>0.1792</v>
      </c>
    </row>
    <row r="1242" spans="3:12">
      <c r="C1242" s="161">
        <f t="shared" si="108"/>
        <v>2017</v>
      </c>
      <c r="D1242" s="35" t="s">
        <v>279</v>
      </c>
      <c r="E1242" s="227">
        <v>42767</v>
      </c>
      <c r="F1242" s="156">
        <v>735379.83</v>
      </c>
      <c r="G1242" s="131">
        <f t="shared" si="109"/>
        <v>131780.06553599998</v>
      </c>
      <c r="H1242" s="156">
        <v>3081.14</v>
      </c>
      <c r="I1242" s="156">
        <v>0</v>
      </c>
      <c r="J1242" s="156">
        <v>790</v>
      </c>
      <c r="K1242" s="131">
        <f t="shared" si="110"/>
        <v>3871.14</v>
      </c>
      <c r="L1242" s="134">
        <v>0.1792</v>
      </c>
    </row>
    <row r="1243" spans="3:12">
      <c r="C1243" s="161">
        <f t="shared" si="108"/>
        <v>2017</v>
      </c>
      <c r="D1243" s="35" t="s">
        <v>279</v>
      </c>
      <c r="E1243" s="227">
        <v>42795</v>
      </c>
      <c r="F1243" s="156">
        <v>692746.12</v>
      </c>
      <c r="G1243" s="131">
        <f t="shared" si="109"/>
        <v>124140.104704</v>
      </c>
      <c r="H1243" s="156">
        <v>35890.07</v>
      </c>
      <c r="I1243" s="156">
        <v>2441.08</v>
      </c>
      <c r="J1243" s="156">
        <v>599</v>
      </c>
      <c r="K1243" s="131">
        <f t="shared" si="110"/>
        <v>38930.15</v>
      </c>
      <c r="L1243" s="134">
        <v>0.1792</v>
      </c>
    </row>
    <row r="1244" spans="3:12">
      <c r="C1244" s="161">
        <f t="shared" si="108"/>
        <v>2017</v>
      </c>
      <c r="D1244" s="35" t="s">
        <v>279</v>
      </c>
      <c r="E1244" s="227">
        <v>42826</v>
      </c>
      <c r="F1244" s="156">
        <v>739354.48</v>
      </c>
      <c r="G1244" s="131">
        <f t="shared" si="109"/>
        <v>132492.322816</v>
      </c>
      <c r="H1244" s="156">
        <v>4436.22</v>
      </c>
      <c r="I1244" s="156">
        <v>1343.1</v>
      </c>
      <c r="J1244" s="156">
        <v>0</v>
      </c>
      <c r="K1244" s="131">
        <f t="shared" si="110"/>
        <v>5779.32</v>
      </c>
      <c r="L1244" s="134">
        <v>0.1792</v>
      </c>
    </row>
    <row r="1245" spans="3:12">
      <c r="C1245" s="161">
        <f t="shared" si="108"/>
        <v>2017</v>
      </c>
      <c r="D1245" s="35" t="s">
        <v>279</v>
      </c>
      <c r="E1245" s="227">
        <v>42856</v>
      </c>
      <c r="F1245" s="156">
        <v>729749.97</v>
      </c>
      <c r="G1245" s="131">
        <f t="shared" si="109"/>
        <v>130771.194624</v>
      </c>
      <c r="H1245" s="156">
        <v>6767.98</v>
      </c>
      <c r="I1245" s="156">
        <v>2093.2800000000002</v>
      </c>
      <c r="J1245" s="156">
        <v>0</v>
      </c>
      <c r="K1245" s="131">
        <f t="shared" si="110"/>
        <v>8861.26</v>
      </c>
      <c r="L1245" s="134">
        <v>0.1792</v>
      </c>
    </row>
    <row r="1246" spans="3:12">
      <c r="C1246" s="161">
        <f t="shared" si="108"/>
        <v>2017</v>
      </c>
      <c r="D1246" s="35" t="s">
        <v>279</v>
      </c>
      <c r="E1246" s="227">
        <v>42887</v>
      </c>
      <c r="F1246" s="156">
        <v>768397.45</v>
      </c>
      <c r="G1246" s="131">
        <f t="shared" si="109"/>
        <v>137696.82303999999</v>
      </c>
      <c r="H1246" s="156">
        <v>4497.57</v>
      </c>
      <c r="I1246" s="156">
        <v>802.97</v>
      </c>
      <c r="J1246" s="156">
        <v>0</v>
      </c>
      <c r="K1246" s="131">
        <f t="shared" si="110"/>
        <v>5300.54</v>
      </c>
      <c r="L1246" s="134">
        <v>0.1792</v>
      </c>
    </row>
    <row r="1247" spans="3:12">
      <c r="C1247" s="161">
        <f t="shared" si="108"/>
        <v>2017</v>
      </c>
      <c r="D1247" s="35" t="s">
        <v>279</v>
      </c>
      <c r="E1247" s="227">
        <v>42917</v>
      </c>
      <c r="F1247" s="156">
        <v>815730.34</v>
      </c>
      <c r="G1247" s="131">
        <f t="shared" si="109"/>
        <v>146178.87692799998</v>
      </c>
      <c r="H1247" s="156">
        <v>4034.04</v>
      </c>
      <c r="I1247" s="156">
        <v>880.56</v>
      </c>
      <c r="J1247" s="156">
        <v>0</v>
      </c>
      <c r="K1247" s="131">
        <f t="shared" si="110"/>
        <v>4914.6000000000004</v>
      </c>
      <c r="L1247" s="134">
        <v>0.1792</v>
      </c>
    </row>
    <row r="1248" spans="3:12">
      <c r="C1248" s="161">
        <f t="shared" si="108"/>
        <v>2017</v>
      </c>
      <c r="D1248" s="35" t="s">
        <v>279</v>
      </c>
      <c r="E1248" s="227">
        <v>42948</v>
      </c>
      <c r="F1248" s="156">
        <v>908288.76</v>
      </c>
      <c r="G1248" s="131">
        <f t="shared" si="109"/>
        <v>162765.34579200001</v>
      </c>
      <c r="H1248" s="156">
        <v>2576.39</v>
      </c>
      <c r="I1248" s="156">
        <v>1115</v>
      </c>
      <c r="J1248" s="156">
        <v>0</v>
      </c>
      <c r="K1248" s="131">
        <f t="shared" si="110"/>
        <v>3691.39</v>
      </c>
      <c r="L1248" s="134">
        <v>0.1792</v>
      </c>
    </row>
    <row r="1249" spans="3:12">
      <c r="C1249" s="161">
        <f t="shared" si="108"/>
        <v>2017</v>
      </c>
      <c r="D1249" s="35" t="s">
        <v>279</v>
      </c>
      <c r="E1249" s="227">
        <v>42979</v>
      </c>
      <c r="F1249" s="156">
        <v>897002.35</v>
      </c>
      <c r="G1249" s="131">
        <f t="shared" si="109"/>
        <v>160742.82112000001</v>
      </c>
      <c r="H1249" s="156">
        <v>5036.1400000000003</v>
      </c>
      <c r="I1249" s="156">
        <v>892.62</v>
      </c>
      <c r="J1249" s="156">
        <v>0</v>
      </c>
      <c r="K1249" s="131">
        <f t="shared" si="110"/>
        <v>5928.76</v>
      </c>
      <c r="L1249" s="134">
        <v>0.1792</v>
      </c>
    </row>
    <row r="1250" spans="3:12">
      <c r="C1250" s="161">
        <f t="shared" si="108"/>
        <v>2017</v>
      </c>
      <c r="D1250" s="35" t="s">
        <v>279</v>
      </c>
      <c r="E1250" s="227">
        <v>43009</v>
      </c>
      <c r="F1250" s="156">
        <v>865208.01</v>
      </c>
      <c r="G1250" s="131">
        <f t="shared" si="109"/>
        <v>155045.27539200001</v>
      </c>
      <c r="H1250" s="156">
        <v>3733.14</v>
      </c>
      <c r="I1250" s="156">
        <v>759.88</v>
      </c>
      <c r="J1250" s="156">
        <v>0</v>
      </c>
      <c r="K1250" s="131">
        <f t="shared" si="110"/>
        <v>4493.0199999999995</v>
      </c>
      <c r="L1250" s="134">
        <v>0.1792</v>
      </c>
    </row>
    <row r="1251" spans="3:12">
      <c r="C1251" s="161">
        <f t="shared" si="108"/>
        <v>2017</v>
      </c>
      <c r="D1251" s="35" t="s">
        <v>279</v>
      </c>
      <c r="E1251" s="227">
        <v>43040</v>
      </c>
      <c r="F1251" s="156">
        <v>852078.36</v>
      </c>
      <c r="G1251" s="131">
        <f t="shared" si="109"/>
        <v>152692.44211199999</v>
      </c>
      <c r="H1251" s="156">
        <v>6771.89</v>
      </c>
      <c r="I1251" s="156">
        <v>1451.32</v>
      </c>
      <c r="J1251" s="156">
        <v>138500</v>
      </c>
      <c r="K1251" s="131">
        <f t="shared" si="110"/>
        <v>146723.21</v>
      </c>
      <c r="L1251" s="134">
        <v>0.1792</v>
      </c>
    </row>
    <row r="1252" spans="3:12">
      <c r="C1252" s="161">
        <f t="shared" si="108"/>
        <v>2017</v>
      </c>
      <c r="D1252" s="35" t="s">
        <v>279</v>
      </c>
      <c r="E1252" s="227">
        <v>43070</v>
      </c>
      <c r="F1252" s="156">
        <v>805139.56</v>
      </c>
      <c r="G1252" s="131">
        <f t="shared" si="109"/>
        <v>144281.00915200001</v>
      </c>
      <c r="H1252" s="156">
        <v>1503.85</v>
      </c>
      <c r="I1252" s="156">
        <v>606.66999999999996</v>
      </c>
      <c r="J1252" s="156">
        <v>16000</v>
      </c>
      <c r="K1252" s="131">
        <f t="shared" si="110"/>
        <v>18110.52</v>
      </c>
      <c r="L1252" s="134">
        <v>0.1792</v>
      </c>
    </row>
    <row r="1253" spans="3:12">
      <c r="C1253" s="161">
        <f t="shared" si="108"/>
        <v>2018</v>
      </c>
      <c r="D1253" s="35" t="s">
        <v>279</v>
      </c>
      <c r="E1253" s="227">
        <v>43101</v>
      </c>
      <c r="F1253" s="156">
        <v>770755.11</v>
      </c>
      <c r="G1253" s="131">
        <f t="shared" si="109"/>
        <v>138119.31571200001</v>
      </c>
      <c r="H1253" s="156">
        <v>2729.36</v>
      </c>
      <c r="I1253" s="156">
        <v>225584.36</v>
      </c>
      <c r="J1253" s="156">
        <v>0</v>
      </c>
      <c r="K1253" s="131">
        <f t="shared" si="110"/>
        <v>228313.71999999997</v>
      </c>
      <c r="L1253" s="134">
        <v>0.1792</v>
      </c>
    </row>
    <row r="1254" spans="3:12">
      <c r="C1254" s="161">
        <f t="shared" si="108"/>
        <v>2018</v>
      </c>
      <c r="D1254" s="35" t="s">
        <v>279</v>
      </c>
      <c r="E1254" s="227">
        <v>43132</v>
      </c>
      <c r="F1254" s="156">
        <v>807260.75</v>
      </c>
      <c r="G1254" s="131">
        <f t="shared" si="109"/>
        <v>144661.12640000001</v>
      </c>
      <c r="H1254" s="156">
        <v>2071.15</v>
      </c>
      <c r="I1254" s="156">
        <v>164097.96</v>
      </c>
      <c r="J1254" s="156">
        <v>0</v>
      </c>
      <c r="K1254" s="131">
        <f t="shared" si="110"/>
        <v>166169.10999999999</v>
      </c>
      <c r="L1254" s="134">
        <v>0.1792</v>
      </c>
    </row>
    <row r="1255" spans="3:12">
      <c r="C1255" s="161">
        <f t="shared" si="108"/>
        <v>2018</v>
      </c>
      <c r="D1255" s="35" t="s">
        <v>279</v>
      </c>
      <c r="E1255" s="227">
        <v>43160</v>
      </c>
      <c r="F1255" s="156">
        <v>734323.03</v>
      </c>
      <c r="G1255" s="131">
        <f t="shared" si="109"/>
        <v>131590.686976</v>
      </c>
      <c r="H1255" s="156">
        <v>542664.94999999995</v>
      </c>
      <c r="I1255" s="156">
        <v>148062.04999999999</v>
      </c>
      <c r="J1255" s="156">
        <v>0</v>
      </c>
      <c r="K1255" s="131">
        <f t="shared" si="110"/>
        <v>690727</v>
      </c>
      <c r="L1255" s="134">
        <v>0.1792</v>
      </c>
    </row>
    <row r="1256" spans="3:12">
      <c r="C1256" s="161">
        <f t="shared" si="108"/>
        <v>2018</v>
      </c>
      <c r="D1256" s="35" t="s">
        <v>279</v>
      </c>
      <c r="E1256" s="227">
        <v>43191</v>
      </c>
      <c r="F1256" s="156">
        <v>808468.41</v>
      </c>
      <c r="G1256" s="131">
        <f t="shared" si="109"/>
        <v>144877.53907200001</v>
      </c>
      <c r="H1256" s="156">
        <v>5575.75</v>
      </c>
      <c r="I1256" s="156">
        <v>1303.99</v>
      </c>
      <c r="J1256" s="156">
        <v>0</v>
      </c>
      <c r="K1256" s="131">
        <f t="shared" si="110"/>
        <v>6879.74</v>
      </c>
      <c r="L1256" s="134">
        <v>0.1792</v>
      </c>
    </row>
    <row r="1257" spans="3:12">
      <c r="C1257" s="161">
        <f t="shared" si="108"/>
        <v>2018</v>
      </c>
      <c r="D1257" s="35" t="s">
        <v>279</v>
      </c>
      <c r="E1257" s="227">
        <v>43221</v>
      </c>
      <c r="F1257" s="156">
        <v>850517.83</v>
      </c>
      <c r="G1257" s="131">
        <f t="shared" si="109"/>
        <v>152412.795136</v>
      </c>
      <c r="H1257" s="156">
        <v>7586.58</v>
      </c>
      <c r="I1257" s="156">
        <v>1618.53</v>
      </c>
      <c r="J1257" s="156">
        <v>0</v>
      </c>
      <c r="K1257" s="131">
        <f t="shared" si="110"/>
        <v>9205.11</v>
      </c>
      <c r="L1257" s="134">
        <v>0.1792</v>
      </c>
    </row>
    <row r="1258" spans="3:12">
      <c r="C1258" s="161">
        <f t="shared" si="108"/>
        <v>2018</v>
      </c>
      <c r="D1258" s="35" t="s">
        <v>279</v>
      </c>
      <c r="E1258" s="227">
        <v>43252</v>
      </c>
      <c r="F1258" s="156">
        <v>836581.3</v>
      </c>
      <c r="G1258" s="131">
        <f t="shared" si="109"/>
        <v>149915.36895999999</v>
      </c>
      <c r="H1258" s="156">
        <v>15786.5</v>
      </c>
      <c r="I1258" s="156">
        <v>1217.8800000000001</v>
      </c>
      <c r="J1258" s="156">
        <v>0</v>
      </c>
      <c r="K1258" s="131">
        <f t="shared" si="110"/>
        <v>17004.38</v>
      </c>
      <c r="L1258" s="134">
        <v>0.1792</v>
      </c>
    </row>
    <row r="1259" spans="3:12">
      <c r="C1259" s="161">
        <f t="shared" si="108"/>
        <v>2018</v>
      </c>
      <c r="D1259" s="35" t="s">
        <v>279</v>
      </c>
      <c r="E1259" s="227">
        <v>43282</v>
      </c>
      <c r="F1259" s="156">
        <v>900410.06</v>
      </c>
      <c r="G1259" s="131">
        <f t="shared" si="109"/>
        <v>161353.48275200001</v>
      </c>
      <c r="H1259" s="156">
        <v>193753.26</v>
      </c>
      <c r="I1259" s="156">
        <v>1187.22</v>
      </c>
      <c r="J1259" s="156">
        <v>0</v>
      </c>
      <c r="K1259" s="131">
        <f t="shared" si="110"/>
        <v>194940.48</v>
      </c>
      <c r="L1259" s="134">
        <v>0.1792</v>
      </c>
    </row>
    <row r="1260" spans="3:12">
      <c r="C1260" s="161">
        <f t="shared" si="108"/>
        <v>2018</v>
      </c>
      <c r="D1260" s="35" t="s">
        <v>279</v>
      </c>
      <c r="E1260" s="227">
        <v>43313</v>
      </c>
      <c r="F1260" s="156">
        <v>898886.53</v>
      </c>
      <c r="G1260" s="131">
        <f t="shared" si="109"/>
        <v>161080.46617600002</v>
      </c>
      <c r="H1260" s="156">
        <v>195639.13</v>
      </c>
      <c r="I1260" s="156">
        <v>1816.09</v>
      </c>
      <c r="J1260" s="156">
        <v>0</v>
      </c>
      <c r="K1260" s="131">
        <f t="shared" si="110"/>
        <v>197455.22</v>
      </c>
      <c r="L1260" s="134">
        <v>0.1792</v>
      </c>
    </row>
    <row r="1261" spans="3:12">
      <c r="C1261" s="161">
        <f t="shared" si="108"/>
        <v>2018</v>
      </c>
      <c r="D1261" s="35" t="s">
        <v>279</v>
      </c>
      <c r="E1261" s="227">
        <v>43344</v>
      </c>
      <c r="F1261" s="156">
        <v>944283.95</v>
      </c>
      <c r="G1261" s="131">
        <f t="shared" si="109"/>
        <v>169215.68383999998</v>
      </c>
      <c r="H1261" s="156">
        <v>0</v>
      </c>
      <c r="I1261" s="156">
        <v>15.94</v>
      </c>
      <c r="J1261" s="156">
        <v>0</v>
      </c>
      <c r="K1261" s="131">
        <f t="shared" si="110"/>
        <v>15.94</v>
      </c>
      <c r="L1261" s="134">
        <v>0.1792</v>
      </c>
    </row>
    <row r="1262" spans="3:12">
      <c r="C1262" s="161">
        <f t="shared" si="108"/>
        <v>2018</v>
      </c>
      <c r="D1262" s="35" t="s">
        <v>279</v>
      </c>
      <c r="E1262" s="227">
        <v>43374</v>
      </c>
      <c r="F1262" s="156">
        <v>824088.78</v>
      </c>
      <c r="G1262" s="131">
        <f t="shared" si="109"/>
        <v>147676.70937600001</v>
      </c>
      <c r="H1262" s="156">
        <v>9507.5400000000009</v>
      </c>
      <c r="I1262" s="156">
        <v>1141.6400000000001</v>
      </c>
      <c r="J1262" s="156">
        <v>2999.01</v>
      </c>
      <c r="K1262" s="131">
        <f t="shared" si="110"/>
        <v>13648.19</v>
      </c>
      <c r="L1262" s="134">
        <v>0.1792</v>
      </c>
    </row>
    <row r="1263" spans="3:12">
      <c r="C1263" s="161">
        <f t="shared" si="108"/>
        <v>2018</v>
      </c>
      <c r="D1263" s="35" t="s">
        <v>279</v>
      </c>
      <c r="E1263" s="227">
        <v>43405</v>
      </c>
      <c r="F1263" s="156">
        <v>845444.27879999997</v>
      </c>
      <c r="G1263" s="131">
        <f t="shared" si="109"/>
        <v>151503.61476095999</v>
      </c>
      <c r="H1263" s="156">
        <v>4306.88</v>
      </c>
      <c r="I1263" s="156">
        <v>1416.29</v>
      </c>
      <c r="J1263" s="156">
        <v>86445</v>
      </c>
      <c r="K1263" s="131">
        <f t="shared" si="110"/>
        <v>92168.17</v>
      </c>
      <c r="L1263" s="134">
        <v>0.1792</v>
      </c>
    </row>
    <row r="1264" spans="3:12">
      <c r="C1264" s="161">
        <f t="shared" si="108"/>
        <v>2018</v>
      </c>
      <c r="D1264" s="35" t="s">
        <v>279</v>
      </c>
      <c r="E1264" s="227">
        <v>43435</v>
      </c>
      <c r="F1264" s="156">
        <v>902385.13</v>
      </c>
      <c r="G1264" s="131">
        <f t="shared" si="109"/>
        <v>161707.41529599999</v>
      </c>
      <c r="H1264" s="156">
        <v>3071.95</v>
      </c>
      <c r="I1264" s="156">
        <v>32789.230000000003</v>
      </c>
      <c r="J1264" s="156" t="s">
        <v>267</v>
      </c>
      <c r="K1264" s="131">
        <f t="shared" si="110"/>
        <v>35861.18</v>
      </c>
      <c r="L1264" s="134">
        <v>0.1792</v>
      </c>
    </row>
    <row r="1265" spans="3:12">
      <c r="C1265" s="161">
        <f t="shared" si="108"/>
        <v>2019</v>
      </c>
      <c r="D1265" s="35" t="s">
        <v>279</v>
      </c>
      <c r="E1265" s="227">
        <v>43466</v>
      </c>
      <c r="F1265" s="156">
        <v>879048.03</v>
      </c>
      <c r="G1265" s="131">
        <f t="shared" si="109"/>
        <v>157525.406976</v>
      </c>
      <c r="H1265" s="156">
        <v>9407.7900000000009</v>
      </c>
      <c r="I1265" s="156">
        <v>324764.63</v>
      </c>
      <c r="J1265" s="156">
        <v>472.09</v>
      </c>
      <c r="K1265" s="131">
        <f t="shared" si="110"/>
        <v>334644.51</v>
      </c>
      <c r="L1265" s="134">
        <v>0.1792</v>
      </c>
    </row>
    <row r="1266" spans="3:12">
      <c r="C1266" s="161">
        <f t="shared" si="108"/>
        <v>2019</v>
      </c>
      <c r="D1266" s="35" t="s">
        <v>279</v>
      </c>
      <c r="E1266" s="227">
        <v>43497</v>
      </c>
      <c r="F1266" s="156">
        <v>896016.86</v>
      </c>
      <c r="G1266" s="131">
        <f t="shared" si="109"/>
        <v>160566.22131200001</v>
      </c>
      <c r="H1266" s="156">
        <v>632168.07999999996</v>
      </c>
      <c r="I1266" s="156">
        <v>1569594.09</v>
      </c>
      <c r="J1266" s="156">
        <v>0</v>
      </c>
      <c r="K1266" s="131">
        <f t="shared" si="110"/>
        <v>2201762.17</v>
      </c>
      <c r="L1266" s="134">
        <v>0.1792</v>
      </c>
    </row>
    <row r="1267" spans="3:12">
      <c r="C1267" s="161">
        <f t="shared" si="108"/>
        <v>2019</v>
      </c>
      <c r="D1267" s="35" t="s">
        <v>279</v>
      </c>
      <c r="E1267" s="227">
        <v>43525</v>
      </c>
      <c r="F1267" s="156">
        <v>821770.33</v>
      </c>
      <c r="G1267" s="131">
        <f t="shared" si="109"/>
        <v>147261.243136</v>
      </c>
      <c r="H1267" s="156">
        <v>47376.03</v>
      </c>
      <c r="I1267" s="156">
        <v>399936.86</v>
      </c>
      <c r="J1267" s="156">
        <v>0</v>
      </c>
      <c r="K1267" s="131">
        <f t="shared" si="110"/>
        <v>447312.89</v>
      </c>
      <c r="L1267" s="134">
        <v>0.1792</v>
      </c>
    </row>
    <row r="1268" spans="3:12">
      <c r="C1268" s="161">
        <f t="shared" si="108"/>
        <v>2019</v>
      </c>
      <c r="D1268" s="35" t="s">
        <v>279</v>
      </c>
      <c r="E1268" s="227">
        <v>43556</v>
      </c>
      <c r="F1268" s="156">
        <v>908399.75</v>
      </c>
      <c r="G1268" s="131">
        <f t="shared" si="109"/>
        <v>162785.2352</v>
      </c>
      <c r="H1268" s="156">
        <v>4577.0200000000004</v>
      </c>
      <c r="I1268" s="156">
        <v>239692.46</v>
      </c>
      <c r="J1268" s="156">
        <v>0</v>
      </c>
      <c r="K1268" s="131">
        <f t="shared" si="110"/>
        <v>244269.47999999998</v>
      </c>
      <c r="L1268" s="134">
        <v>0.1792</v>
      </c>
    </row>
    <row r="1269" spans="3:12">
      <c r="C1269" s="161">
        <f t="shared" si="108"/>
        <v>2019</v>
      </c>
      <c r="D1269" s="35" t="s">
        <v>279</v>
      </c>
      <c r="E1269" s="227">
        <v>43586</v>
      </c>
      <c r="F1269" s="156">
        <v>886250.19</v>
      </c>
      <c r="G1269" s="131">
        <f t="shared" si="109"/>
        <v>158816.034048</v>
      </c>
      <c r="H1269" s="156">
        <v>11006.26</v>
      </c>
      <c r="I1269" s="156">
        <v>498593.98</v>
      </c>
      <c r="J1269" s="156">
        <v>0</v>
      </c>
      <c r="K1269" s="131">
        <f t="shared" si="110"/>
        <v>509600.24</v>
      </c>
      <c r="L1269" s="134">
        <v>0.1792</v>
      </c>
    </row>
    <row r="1270" spans="3:12">
      <c r="C1270" s="161">
        <f t="shared" si="108"/>
        <v>2019</v>
      </c>
      <c r="D1270" s="35" t="s">
        <v>279</v>
      </c>
      <c r="E1270" s="227">
        <v>43617</v>
      </c>
      <c r="F1270" s="156">
        <v>946796.59</v>
      </c>
      <c r="G1270" s="131">
        <f t="shared" si="109"/>
        <v>169665.948928</v>
      </c>
      <c r="H1270" s="156">
        <v>42269.78</v>
      </c>
      <c r="I1270" s="156">
        <v>396279.31</v>
      </c>
      <c r="J1270" s="156">
        <v>0</v>
      </c>
      <c r="K1270" s="131">
        <f t="shared" si="110"/>
        <v>438549.08999999997</v>
      </c>
      <c r="L1270" s="134">
        <v>0.1792</v>
      </c>
    </row>
    <row r="1271" spans="3:12">
      <c r="C1271" s="161">
        <f t="shared" si="108"/>
        <v>2019</v>
      </c>
      <c r="D1271" s="35" t="s">
        <v>279</v>
      </c>
      <c r="E1271" s="227">
        <v>43647</v>
      </c>
      <c r="F1271" s="156">
        <v>994547.53</v>
      </c>
      <c r="G1271" s="131">
        <f t="shared" si="109"/>
        <v>178222.917376</v>
      </c>
      <c r="H1271" s="156">
        <v>18651.689999999999</v>
      </c>
      <c r="I1271" s="156">
        <v>235749.78</v>
      </c>
      <c r="J1271" s="156">
        <v>0</v>
      </c>
      <c r="K1271" s="131">
        <f t="shared" si="110"/>
        <v>254401.47</v>
      </c>
      <c r="L1271" s="134">
        <v>0.1792</v>
      </c>
    </row>
    <row r="1272" spans="3:12">
      <c r="C1272" s="161">
        <f t="shared" si="108"/>
        <v>2019</v>
      </c>
      <c r="D1272" s="35" t="s">
        <v>279</v>
      </c>
      <c r="E1272" s="227">
        <v>43678</v>
      </c>
      <c r="F1272" s="156">
        <v>1032838.55</v>
      </c>
      <c r="G1272" s="131">
        <f t="shared" si="109"/>
        <v>185084.66816</v>
      </c>
      <c r="H1272" s="156">
        <v>6709.9</v>
      </c>
      <c r="I1272" s="156">
        <v>32859.93</v>
      </c>
      <c r="J1272" s="156">
        <v>0</v>
      </c>
      <c r="K1272" s="131">
        <f t="shared" si="110"/>
        <v>39569.83</v>
      </c>
      <c r="L1272" s="134">
        <v>0.1792</v>
      </c>
    </row>
    <row r="1273" spans="3:12">
      <c r="C1273" s="161">
        <f t="shared" si="108"/>
        <v>2019</v>
      </c>
      <c r="D1273" s="35" t="s">
        <v>279</v>
      </c>
      <c r="E1273" s="227">
        <v>43709</v>
      </c>
      <c r="F1273" s="156">
        <v>1165360.6200000001</v>
      </c>
      <c r="G1273" s="131">
        <f t="shared" si="109"/>
        <v>208832.62310400003</v>
      </c>
      <c r="H1273" s="156">
        <v>15409.47</v>
      </c>
      <c r="I1273" s="156">
        <v>37189.85</v>
      </c>
      <c r="J1273" s="156">
        <v>16274.19</v>
      </c>
      <c r="K1273" s="131">
        <f t="shared" si="110"/>
        <v>68873.509999999995</v>
      </c>
      <c r="L1273" s="134">
        <v>0.1792</v>
      </c>
    </row>
    <row r="1274" spans="3:12">
      <c r="C1274" s="161">
        <f t="shared" si="108"/>
        <v>2019</v>
      </c>
      <c r="D1274" s="35" t="s">
        <v>279</v>
      </c>
      <c r="E1274" s="227">
        <v>43739</v>
      </c>
      <c r="F1274" s="156">
        <v>1035559.82</v>
      </c>
      <c r="G1274" s="131">
        <f t="shared" si="109"/>
        <v>185572.31974399998</v>
      </c>
      <c r="H1274" s="156">
        <v>8185.32</v>
      </c>
      <c r="I1274" s="156">
        <v>30706.94</v>
      </c>
      <c r="J1274" s="156">
        <v>905.36</v>
      </c>
      <c r="K1274" s="131">
        <f t="shared" si="110"/>
        <v>39797.619999999995</v>
      </c>
      <c r="L1274" s="134">
        <v>0.1792</v>
      </c>
    </row>
    <row r="1275" spans="3:12">
      <c r="C1275" s="161">
        <f t="shared" si="108"/>
        <v>2019</v>
      </c>
      <c r="D1275" s="35" t="s">
        <v>279</v>
      </c>
      <c r="E1275" s="227">
        <v>43770</v>
      </c>
      <c r="F1275" s="156">
        <v>1005475.71</v>
      </c>
      <c r="G1275" s="131">
        <f t="shared" si="109"/>
        <v>180181.24723199999</v>
      </c>
      <c r="H1275" s="156">
        <v>7135.83</v>
      </c>
      <c r="I1275" s="156">
        <v>38682.71</v>
      </c>
      <c r="J1275" s="156">
        <v>0</v>
      </c>
      <c r="K1275" s="131">
        <f t="shared" si="110"/>
        <v>45818.54</v>
      </c>
      <c r="L1275" s="134">
        <v>0.1792</v>
      </c>
    </row>
    <row r="1276" spans="3:12">
      <c r="C1276" s="161">
        <f t="shared" si="108"/>
        <v>2019</v>
      </c>
      <c r="D1276" s="35" t="s">
        <v>279</v>
      </c>
      <c r="E1276" s="227">
        <v>43800</v>
      </c>
      <c r="F1276" s="156">
        <v>1017058.39</v>
      </c>
      <c r="G1276" s="131">
        <f t="shared" si="109"/>
        <v>182256.863488</v>
      </c>
      <c r="H1276" s="156">
        <v>11858.57</v>
      </c>
      <c r="I1276" s="156">
        <v>37238.71</v>
      </c>
      <c r="J1276" s="156">
        <v>0</v>
      </c>
      <c r="K1276" s="131">
        <f t="shared" si="110"/>
        <v>49097.279999999999</v>
      </c>
      <c r="L1276" s="134">
        <v>0.1792</v>
      </c>
    </row>
    <row r="1277" spans="3:12">
      <c r="C1277" s="161">
        <f t="shared" si="108"/>
        <v>2020</v>
      </c>
      <c r="D1277" s="35" t="s">
        <v>279</v>
      </c>
      <c r="E1277" s="227">
        <v>43831</v>
      </c>
      <c r="F1277" s="156">
        <v>999136.97</v>
      </c>
      <c r="G1277" s="131">
        <f t="shared" si="109"/>
        <v>179045.34502399998</v>
      </c>
      <c r="H1277" s="156">
        <v>10376.32</v>
      </c>
      <c r="I1277" s="156">
        <v>162712.91</v>
      </c>
      <c r="J1277" s="156">
        <v>0</v>
      </c>
      <c r="K1277" s="131">
        <f t="shared" si="110"/>
        <v>173089.23</v>
      </c>
      <c r="L1277" s="134">
        <v>0.1792</v>
      </c>
    </row>
    <row r="1278" spans="3:12">
      <c r="C1278" s="161">
        <f t="shared" si="108"/>
        <v>2020</v>
      </c>
      <c r="D1278" s="35" t="s">
        <v>279</v>
      </c>
      <c r="E1278" s="227">
        <v>43862</v>
      </c>
      <c r="F1278" s="156">
        <v>982110.84</v>
      </c>
      <c r="G1278" s="131">
        <f t="shared" si="109"/>
        <v>175994.26252799999</v>
      </c>
      <c r="H1278" s="156">
        <v>6246.35</v>
      </c>
      <c r="I1278" s="156">
        <v>29538.62</v>
      </c>
      <c r="J1278" s="156">
        <v>1995</v>
      </c>
      <c r="K1278" s="131">
        <f t="shared" si="110"/>
        <v>37779.97</v>
      </c>
      <c r="L1278" s="134">
        <v>0.1792</v>
      </c>
    </row>
    <row r="1279" spans="3:12">
      <c r="C1279" s="161">
        <f t="shared" si="108"/>
        <v>2020</v>
      </c>
      <c r="D1279" s="35" t="s">
        <v>279</v>
      </c>
      <c r="E1279" s="227">
        <v>43891</v>
      </c>
      <c r="F1279" s="156">
        <v>969316.69477499998</v>
      </c>
      <c r="G1279" s="131">
        <f t="shared" si="109"/>
        <v>173701.55170367999</v>
      </c>
      <c r="H1279" s="156">
        <v>57507.18</v>
      </c>
      <c r="I1279" s="156">
        <v>45253.21</v>
      </c>
      <c r="J1279" s="156">
        <v>0</v>
      </c>
      <c r="K1279" s="131">
        <f t="shared" si="110"/>
        <v>102760.39</v>
      </c>
      <c r="L1279" s="134">
        <v>0.1792</v>
      </c>
    </row>
    <row r="1280" spans="3:12">
      <c r="C1280" s="161">
        <f t="shared" si="108"/>
        <v>2020</v>
      </c>
      <c r="D1280" s="35" t="s">
        <v>279</v>
      </c>
      <c r="E1280" s="227">
        <v>43922</v>
      </c>
      <c r="F1280" s="156">
        <v>1057043.3948250001</v>
      </c>
      <c r="G1280" s="131">
        <f t="shared" si="109"/>
        <v>189422.17635264</v>
      </c>
      <c r="H1280" s="156">
        <v>308195.23</v>
      </c>
      <c r="I1280" s="156">
        <v>34742.17</v>
      </c>
      <c r="J1280" s="156">
        <v>0</v>
      </c>
      <c r="K1280" s="131">
        <f t="shared" si="110"/>
        <v>342937.39999999997</v>
      </c>
      <c r="L1280" s="134">
        <v>0.1792</v>
      </c>
    </row>
    <row r="1281" spans="3:12">
      <c r="C1281" s="161">
        <f t="shared" si="108"/>
        <v>2020</v>
      </c>
      <c r="D1281" s="35" t="s">
        <v>279</v>
      </c>
      <c r="E1281" s="227">
        <v>43952</v>
      </c>
      <c r="F1281" s="156">
        <v>1007046.06</v>
      </c>
      <c r="G1281" s="131">
        <f t="shared" si="109"/>
        <v>180462.65395200002</v>
      </c>
      <c r="H1281" s="156">
        <v>113034.07</v>
      </c>
      <c r="I1281" s="156">
        <v>29699.86</v>
      </c>
      <c r="J1281" s="156">
        <v>0</v>
      </c>
      <c r="K1281" s="131">
        <f t="shared" si="110"/>
        <v>142733.93</v>
      </c>
      <c r="L1281" s="134">
        <v>0.1792</v>
      </c>
    </row>
    <row r="1282" spans="3:12">
      <c r="C1282" s="161">
        <f t="shared" si="108"/>
        <v>2020</v>
      </c>
      <c r="D1282" s="35" t="s">
        <v>279</v>
      </c>
      <c r="E1282" s="227">
        <v>43983</v>
      </c>
      <c r="F1282" s="156">
        <v>1003722.99</v>
      </c>
      <c r="G1282" s="131">
        <f t="shared" si="109"/>
        <v>179867.159808</v>
      </c>
      <c r="H1282" s="156">
        <v>8885.18</v>
      </c>
      <c r="I1282" s="156">
        <v>98427.29</v>
      </c>
      <c r="J1282" s="156">
        <v>0</v>
      </c>
      <c r="K1282" s="131">
        <f t="shared" si="110"/>
        <v>107312.47</v>
      </c>
      <c r="L1282" s="134">
        <v>0.1792</v>
      </c>
    </row>
    <row r="1283" spans="3:12">
      <c r="C1283" s="161">
        <f t="shared" si="108"/>
        <v>2020</v>
      </c>
      <c r="D1283" s="35" t="s">
        <v>279</v>
      </c>
      <c r="E1283" s="227">
        <v>44013</v>
      </c>
      <c r="F1283" s="156">
        <v>1072891.79</v>
      </c>
      <c r="G1283" s="131">
        <f t="shared" si="109"/>
        <v>192262.20876800001</v>
      </c>
      <c r="H1283" s="156">
        <v>105070.31</v>
      </c>
      <c r="I1283" s="156">
        <v>164529.54</v>
      </c>
      <c r="J1283" s="156">
        <v>0</v>
      </c>
      <c r="K1283" s="131">
        <f t="shared" si="110"/>
        <v>269599.84999999998</v>
      </c>
      <c r="L1283" s="134">
        <v>0.1792</v>
      </c>
    </row>
    <row r="1284" spans="3:12">
      <c r="C1284" s="161">
        <f t="shared" ref="C1284:C1347" si="111">YEAR(E1284)</f>
        <v>2020</v>
      </c>
      <c r="D1284" s="35" t="s">
        <v>279</v>
      </c>
      <c r="E1284" s="227">
        <v>44044</v>
      </c>
      <c r="F1284" s="156">
        <v>1188117.44</v>
      </c>
      <c r="G1284" s="131">
        <f t="shared" ref="G1284:G1347" si="112">F1284*L1284</f>
        <v>212910.64524799999</v>
      </c>
      <c r="H1284" s="156">
        <v>8417.86</v>
      </c>
      <c r="I1284" s="156">
        <v>214902.83</v>
      </c>
      <c r="J1284" s="156">
        <v>0</v>
      </c>
      <c r="K1284" s="131">
        <f t="shared" ref="K1284:K1347" si="113">SUM(H1284:J1284)</f>
        <v>223320.69</v>
      </c>
      <c r="L1284" s="134">
        <v>0.1792</v>
      </c>
    </row>
    <row r="1285" spans="3:12">
      <c r="C1285" s="161">
        <f t="shared" si="111"/>
        <v>2020</v>
      </c>
      <c r="D1285" s="35" t="s">
        <v>279</v>
      </c>
      <c r="E1285" s="227">
        <v>44075</v>
      </c>
      <c r="F1285" s="156">
        <v>1340961.3899999999</v>
      </c>
      <c r="G1285" s="131">
        <f t="shared" si="112"/>
        <v>240300.28108799999</v>
      </c>
      <c r="H1285" s="156">
        <v>184821.24</v>
      </c>
      <c r="I1285" s="156">
        <v>194833</v>
      </c>
      <c r="J1285" s="156">
        <v>0</v>
      </c>
      <c r="K1285" s="131">
        <f t="shared" si="113"/>
        <v>379654.24</v>
      </c>
      <c r="L1285" s="134">
        <v>0.1792</v>
      </c>
    </row>
    <row r="1286" spans="3:12">
      <c r="C1286" s="161">
        <f t="shared" si="111"/>
        <v>2020</v>
      </c>
      <c r="D1286" s="35" t="s">
        <v>279</v>
      </c>
      <c r="E1286" s="227">
        <v>44105</v>
      </c>
      <c r="F1286" s="156">
        <v>1287856.31</v>
      </c>
      <c r="G1286" s="131">
        <f t="shared" si="112"/>
        <v>230783.850752</v>
      </c>
      <c r="H1286" s="156">
        <v>11174.17</v>
      </c>
      <c r="I1286" s="156">
        <v>345047.81</v>
      </c>
      <c r="J1286" s="156">
        <v>0</v>
      </c>
      <c r="K1286" s="131">
        <f t="shared" si="113"/>
        <v>356221.98</v>
      </c>
      <c r="L1286" s="134">
        <v>0.1792</v>
      </c>
    </row>
    <row r="1287" spans="3:12">
      <c r="C1287" s="161">
        <f t="shared" si="111"/>
        <v>2020</v>
      </c>
      <c r="D1287" s="35" t="s">
        <v>279</v>
      </c>
      <c r="E1287" s="227">
        <v>44136</v>
      </c>
      <c r="F1287" s="156">
        <v>1137576.6100000001</v>
      </c>
      <c r="G1287" s="131">
        <f t="shared" si="112"/>
        <v>203853.72851200003</v>
      </c>
      <c r="H1287" s="156">
        <v>153838.94</v>
      </c>
      <c r="I1287" s="156">
        <v>167691.92000000001</v>
      </c>
      <c r="J1287" s="156">
        <v>978.28</v>
      </c>
      <c r="K1287" s="131">
        <f t="shared" si="113"/>
        <v>322509.14</v>
      </c>
      <c r="L1287" s="134">
        <v>0.1792</v>
      </c>
    </row>
    <row r="1288" spans="3:12">
      <c r="C1288" s="161">
        <f t="shared" si="111"/>
        <v>2020</v>
      </c>
      <c r="D1288" s="35" t="s">
        <v>279</v>
      </c>
      <c r="E1288" s="227">
        <v>44166</v>
      </c>
      <c r="F1288" s="156">
        <v>1141743.1200000001</v>
      </c>
      <c r="G1288" s="131">
        <f t="shared" si="112"/>
        <v>204600.367104</v>
      </c>
      <c r="H1288" s="156">
        <v>5253.93</v>
      </c>
      <c r="I1288" s="156">
        <v>208854.81</v>
      </c>
      <c r="J1288" s="156">
        <v>0</v>
      </c>
      <c r="K1288" s="131">
        <f t="shared" si="113"/>
        <v>214108.74</v>
      </c>
      <c r="L1288" s="134">
        <v>0.1792</v>
      </c>
    </row>
    <row r="1289" spans="3:12">
      <c r="C1289" s="161">
        <f t="shared" si="111"/>
        <v>2021</v>
      </c>
      <c r="D1289" s="35" t="s">
        <v>279</v>
      </c>
      <c r="E1289" s="227">
        <v>44197</v>
      </c>
      <c r="F1289" s="156">
        <v>1119874.92</v>
      </c>
      <c r="G1289" s="131">
        <f t="shared" si="112"/>
        <v>200681.58566399998</v>
      </c>
      <c r="H1289" s="156">
        <v>17629.82</v>
      </c>
      <c r="I1289" s="156">
        <v>176778.12</v>
      </c>
      <c r="J1289" s="156">
        <v>0</v>
      </c>
      <c r="K1289" s="131">
        <f t="shared" si="113"/>
        <v>194407.94</v>
      </c>
      <c r="L1289" s="134">
        <v>0.1792</v>
      </c>
    </row>
    <row r="1290" spans="3:12">
      <c r="C1290" s="161">
        <f t="shared" si="111"/>
        <v>2021</v>
      </c>
      <c r="D1290" s="35" t="s">
        <v>279</v>
      </c>
      <c r="E1290" s="227">
        <v>44229</v>
      </c>
      <c r="F1290" s="156">
        <v>1164067.8899999999</v>
      </c>
      <c r="G1290" s="131">
        <f t="shared" si="112"/>
        <v>208600.96588799998</v>
      </c>
      <c r="H1290" s="156">
        <v>5559.32</v>
      </c>
      <c r="I1290" s="156">
        <v>117702.09</v>
      </c>
      <c r="J1290" s="156">
        <v>0</v>
      </c>
      <c r="K1290" s="131">
        <f t="shared" si="113"/>
        <v>123261.41</v>
      </c>
      <c r="L1290" s="134">
        <v>0.1792</v>
      </c>
    </row>
    <row r="1291" spans="3:12">
      <c r="C1291" s="161">
        <f t="shared" si="111"/>
        <v>2021</v>
      </c>
      <c r="D1291" s="35" t="s">
        <v>279</v>
      </c>
      <c r="E1291" s="227">
        <v>44258</v>
      </c>
      <c r="F1291" s="156">
        <v>1052535.03</v>
      </c>
      <c r="G1291" s="131">
        <f t="shared" si="112"/>
        <v>188614.27737600001</v>
      </c>
      <c r="H1291" s="156">
        <v>17821.740000000002</v>
      </c>
      <c r="I1291" s="156">
        <v>177645.52</v>
      </c>
      <c r="J1291" s="156">
        <v>0</v>
      </c>
      <c r="K1291" s="131">
        <f t="shared" si="113"/>
        <v>195467.25999999998</v>
      </c>
      <c r="L1291" s="134">
        <v>0.1792</v>
      </c>
    </row>
    <row r="1292" spans="3:12">
      <c r="C1292" s="161">
        <f t="shared" si="111"/>
        <v>2021</v>
      </c>
      <c r="D1292" s="35" t="s">
        <v>279</v>
      </c>
      <c r="E1292" s="227">
        <v>44290</v>
      </c>
      <c r="F1292" s="156">
        <v>1246501.53</v>
      </c>
      <c r="G1292" s="131">
        <f t="shared" si="112"/>
        <v>223373.07417599999</v>
      </c>
      <c r="H1292" s="156">
        <v>14907.76</v>
      </c>
      <c r="I1292" s="156">
        <v>194562.44</v>
      </c>
      <c r="J1292" s="156">
        <v>0</v>
      </c>
      <c r="K1292" s="131">
        <f t="shared" si="113"/>
        <v>209470.2</v>
      </c>
      <c r="L1292" s="134">
        <v>0.1792</v>
      </c>
    </row>
    <row r="1293" spans="3:12">
      <c r="C1293" s="161">
        <f t="shared" si="111"/>
        <v>2021</v>
      </c>
      <c r="D1293" s="35" t="s">
        <v>279</v>
      </c>
      <c r="E1293" s="227">
        <v>44321</v>
      </c>
      <c r="F1293" s="156">
        <v>1195990.7</v>
      </c>
      <c r="G1293" s="131">
        <f t="shared" si="112"/>
        <v>214321.53344</v>
      </c>
      <c r="H1293" s="156">
        <v>0</v>
      </c>
      <c r="I1293" s="156">
        <v>141518.07</v>
      </c>
      <c r="J1293" s="156">
        <v>0</v>
      </c>
      <c r="K1293" s="131">
        <f t="shared" si="113"/>
        <v>141518.07</v>
      </c>
      <c r="L1293" s="134">
        <v>0.1792</v>
      </c>
    </row>
    <row r="1294" spans="3:12">
      <c r="C1294" s="161">
        <f t="shared" si="111"/>
        <v>2021</v>
      </c>
      <c r="D1294" s="35" t="s">
        <v>279</v>
      </c>
      <c r="E1294" s="227">
        <v>44353</v>
      </c>
      <c r="F1294" s="156">
        <v>1207553.47</v>
      </c>
      <c r="G1294" s="131">
        <f t="shared" si="112"/>
        <v>216393.58182399999</v>
      </c>
      <c r="H1294" s="156">
        <v>44908.61</v>
      </c>
      <c r="I1294" s="156">
        <v>77530.350000000006</v>
      </c>
      <c r="J1294" s="156">
        <v>0</v>
      </c>
      <c r="K1294" s="131">
        <f t="shared" si="113"/>
        <v>122438.96</v>
      </c>
      <c r="L1294" s="134">
        <v>0.1792</v>
      </c>
    </row>
    <row r="1295" spans="3:12">
      <c r="C1295" s="161">
        <f t="shared" si="111"/>
        <v>2015</v>
      </c>
      <c r="D1295" s="35" t="s">
        <v>280</v>
      </c>
      <c r="E1295" s="227">
        <v>42309</v>
      </c>
      <c r="F1295" s="156">
        <v>142517.23942500001</v>
      </c>
      <c r="G1295" s="131">
        <f t="shared" si="112"/>
        <v>25539.089304960002</v>
      </c>
      <c r="H1295" s="156">
        <v>370.26</v>
      </c>
      <c r="I1295" s="156">
        <v>0</v>
      </c>
      <c r="J1295" s="156">
        <v>0</v>
      </c>
      <c r="K1295" s="131">
        <f t="shared" si="113"/>
        <v>370.26</v>
      </c>
      <c r="L1295" s="134">
        <v>0.1792</v>
      </c>
    </row>
    <row r="1296" spans="3:12">
      <c r="C1296" s="161">
        <f t="shared" si="111"/>
        <v>2015</v>
      </c>
      <c r="D1296" s="35" t="s">
        <v>280</v>
      </c>
      <c r="E1296" s="227">
        <v>42339</v>
      </c>
      <c r="F1296" s="156">
        <v>-239.58907500000001</v>
      </c>
      <c r="G1296" s="131">
        <f t="shared" si="112"/>
        <v>-42.934362239999999</v>
      </c>
      <c r="H1296" s="156">
        <v>2627.54</v>
      </c>
      <c r="I1296" s="156">
        <v>244022.02</v>
      </c>
      <c r="J1296" s="156">
        <v>0</v>
      </c>
      <c r="K1296" s="131">
        <f t="shared" si="113"/>
        <v>246649.56</v>
      </c>
      <c r="L1296" s="134">
        <v>0.1792</v>
      </c>
    </row>
    <row r="1297" spans="3:12">
      <c r="C1297" s="161">
        <f t="shared" si="111"/>
        <v>2016</v>
      </c>
      <c r="D1297" s="35" t="s">
        <v>280</v>
      </c>
      <c r="E1297" s="227">
        <v>42370</v>
      </c>
      <c r="F1297" s="156">
        <v>136205.67675000001</v>
      </c>
      <c r="G1297" s="131">
        <f t="shared" si="112"/>
        <v>24408.057273600003</v>
      </c>
      <c r="H1297" s="156">
        <v>19352.63</v>
      </c>
      <c r="I1297" s="156">
        <v>808.68</v>
      </c>
      <c r="J1297" s="156">
        <v>0</v>
      </c>
      <c r="K1297" s="131">
        <f t="shared" si="113"/>
        <v>20161.310000000001</v>
      </c>
      <c r="L1297" s="134">
        <v>0.1792</v>
      </c>
    </row>
    <row r="1298" spans="3:12">
      <c r="C1298" s="161">
        <f t="shared" si="111"/>
        <v>2016</v>
      </c>
      <c r="D1298" s="35" t="s">
        <v>280</v>
      </c>
      <c r="E1298" s="227">
        <v>42401</v>
      </c>
      <c r="F1298" s="156">
        <v>140043.6213</v>
      </c>
      <c r="G1298" s="131">
        <f t="shared" si="112"/>
        <v>25095.81693696</v>
      </c>
      <c r="H1298" s="156">
        <v>29509.89</v>
      </c>
      <c r="I1298" s="156">
        <v>0</v>
      </c>
      <c r="J1298" s="156">
        <v>0</v>
      </c>
      <c r="K1298" s="131">
        <f t="shared" si="113"/>
        <v>29509.89</v>
      </c>
      <c r="L1298" s="134">
        <v>0.1792</v>
      </c>
    </row>
    <row r="1299" spans="3:12">
      <c r="C1299" s="161">
        <f t="shared" si="111"/>
        <v>2016</v>
      </c>
      <c r="D1299" s="35" t="s">
        <v>280</v>
      </c>
      <c r="E1299" s="227">
        <v>42430</v>
      </c>
      <c r="F1299" s="156">
        <v>130172.07225</v>
      </c>
      <c r="G1299" s="131">
        <f t="shared" si="112"/>
        <v>23326.835347199998</v>
      </c>
      <c r="H1299" s="156">
        <v>433.83</v>
      </c>
      <c r="I1299" s="156">
        <v>0</v>
      </c>
      <c r="J1299" s="156">
        <v>0</v>
      </c>
      <c r="K1299" s="131">
        <f t="shared" si="113"/>
        <v>433.83</v>
      </c>
      <c r="L1299" s="134">
        <v>0.1792</v>
      </c>
    </row>
    <row r="1300" spans="3:12">
      <c r="C1300" s="161">
        <f t="shared" si="111"/>
        <v>2016</v>
      </c>
      <c r="D1300" s="35" t="s">
        <v>280</v>
      </c>
      <c r="E1300" s="227">
        <v>42461</v>
      </c>
      <c r="F1300" s="156">
        <v>141047.252775</v>
      </c>
      <c r="G1300" s="131">
        <f t="shared" si="112"/>
        <v>25275.667697280001</v>
      </c>
      <c r="H1300" s="156">
        <v>458.24</v>
      </c>
      <c r="I1300" s="156">
        <v>35416.9</v>
      </c>
      <c r="J1300" s="156">
        <v>0</v>
      </c>
      <c r="K1300" s="131">
        <f t="shared" si="113"/>
        <v>35875.14</v>
      </c>
      <c r="L1300" s="134">
        <v>0.1792</v>
      </c>
    </row>
    <row r="1301" spans="3:12">
      <c r="C1301" s="161">
        <f t="shared" si="111"/>
        <v>2016</v>
      </c>
      <c r="D1301" s="35" t="s">
        <v>280</v>
      </c>
      <c r="E1301" s="227">
        <v>42491</v>
      </c>
      <c r="F1301" s="156">
        <v>132261.21892499999</v>
      </c>
      <c r="G1301" s="131">
        <f t="shared" si="112"/>
        <v>23701.210431359999</v>
      </c>
      <c r="H1301" s="156">
        <v>1836.98</v>
      </c>
      <c r="I1301" s="156">
        <v>219.51</v>
      </c>
      <c r="J1301" s="156">
        <v>0</v>
      </c>
      <c r="K1301" s="131">
        <f t="shared" si="113"/>
        <v>2056.4899999999998</v>
      </c>
      <c r="L1301" s="134">
        <v>0.1792</v>
      </c>
    </row>
    <row r="1302" spans="3:12">
      <c r="C1302" s="161">
        <f t="shared" si="111"/>
        <v>2016</v>
      </c>
      <c r="D1302" s="35" t="s">
        <v>280</v>
      </c>
      <c r="E1302" s="227">
        <v>42522</v>
      </c>
      <c r="F1302" s="156">
        <v>133057.02382500001</v>
      </c>
      <c r="G1302" s="131">
        <f t="shared" si="112"/>
        <v>23843.818669440003</v>
      </c>
      <c r="H1302" s="156">
        <v>3015.09</v>
      </c>
      <c r="I1302" s="156">
        <v>68712.86</v>
      </c>
      <c r="J1302" s="156">
        <v>0</v>
      </c>
      <c r="K1302" s="131">
        <f t="shared" si="113"/>
        <v>71727.95</v>
      </c>
      <c r="L1302" s="134">
        <v>0.1792</v>
      </c>
    </row>
    <row r="1303" spans="3:12">
      <c r="C1303" s="161">
        <f t="shared" si="111"/>
        <v>2016</v>
      </c>
      <c r="D1303" s="35" t="s">
        <v>280</v>
      </c>
      <c r="E1303" s="227">
        <v>42552</v>
      </c>
      <c r="F1303" s="156">
        <v>145182.603225</v>
      </c>
      <c r="G1303" s="131">
        <f t="shared" si="112"/>
        <v>26016.72249792</v>
      </c>
      <c r="H1303" s="156">
        <v>46650.720000000001</v>
      </c>
      <c r="I1303" s="156">
        <v>35069.39</v>
      </c>
      <c r="J1303" s="156">
        <v>0</v>
      </c>
      <c r="K1303" s="131">
        <f t="shared" si="113"/>
        <v>81720.11</v>
      </c>
      <c r="L1303" s="134">
        <v>0.1792</v>
      </c>
    </row>
    <row r="1304" spans="3:12">
      <c r="C1304" s="161">
        <f t="shared" si="111"/>
        <v>2016</v>
      </c>
      <c r="D1304" s="35" t="s">
        <v>280</v>
      </c>
      <c r="E1304" s="227">
        <v>42583</v>
      </c>
      <c r="F1304" s="156">
        <v>158123.46247500001</v>
      </c>
      <c r="G1304" s="131">
        <f t="shared" si="112"/>
        <v>28335.724475520001</v>
      </c>
      <c r="H1304" s="156">
        <v>7854.86</v>
      </c>
      <c r="I1304" s="156">
        <v>54217.04</v>
      </c>
      <c r="J1304" s="156">
        <v>7787.1</v>
      </c>
      <c r="K1304" s="131">
        <f t="shared" si="113"/>
        <v>69859</v>
      </c>
      <c r="L1304" s="134">
        <v>0.1792</v>
      </c>
    </row>
    <row r="1305" spans="3:12">
      <c r="C1305" s="161">
        <f t="shared" si="111"/>
        <v>2016</v>
      </c>
      <c r="D1305" s="35" t="s">
        <v>280</v>
      </c>
      <c r="E1305" s="227">
        <v>42614</v>
      </c>
      <c r="F1305" s="156">
        <v>159557.856975</v>
      </c>
      <c r="G1305" s="131">
        <f t="shared" si="112"/>
        <v>28592.767969920002</v>
      </c>
      <c r="H1305" s="156">
        <v>105315.37</v>
      </c>
      <c r="I1305" s="156">
        <v>192.26</v>
      </c>
      <c r="J1305" s="156">
        <v>0</v>
      </c>
      <c r="K1305" s="131">
        <f t="shared" si="113"/>
        <v>105507.62999999999</v>
      </c>
      <c r="L1305" s="134">
        <v>0.1792</v>
      </c>
    </row>
    <row r="1306" spans="3:12">
      <c r="C1306" s="161">
        <f t="shared" si="111"/>
        <v>2016</v>
      </c>
      <c r="D1306" s="35" t="s">
        <v>280</v>
      </c>
      <c r="E1306" s="227">
        <v>42644</v>
      </c>
      <c r="F1306" s="156">
        <v>159782.72640000001</v>
      </c>
      <c r="G1306" s="131">
        <f t="shared" si="112"/>
        <v>28633.064570880004</v>
      </c>
      <c r="H1306" s="156">
        <v>30114.05</v>
      </c>
      <c r="I1306" s="156">
        <v>47788.86</v>
      </c>
      <c r="J1306" s="156">
        <v>695.66</v>
      </c>
      <c r="K1306" s="131">
        <f t="shared" si="113"/>
        <v>78598.570000000007</v>
      </c>
      <c r="L1306" s="134">
        <v>0.1792</v>
      </c>
    </row>
    <row r="1307" spans="3:12">
      <c r="C1307" s="161">
        <f t="shared" si="111"/>
        <v>2016</v>
      </c>
      <c r="D1307" s="35" t="s">
        <v>280</v>
      </c>
      <c r="E1307" s="227">
        <v>42675</v>
      </c>
      <c r="F1307" s="156">
        <v>165243.13574999999</v>
      </c>
      <c r="G1307" s="131">
        <f t="shared" si="112"/>
        <v>29611.569926399996</v>
      </c>
      <c r="H1307" s="156">
        <v>1101.8499999999999</v>
      </c>
      <c r="I1307" s="156">
        <v>22325.67</v>
      </c>
      <c r="J1307" s="156">
        <v>0</v>
      </c>
      <c r="K1307" s="131">
        <f t="shared" si="113"/>
        <v>23427.519999999997</v>
      </c>
      <c r="L1307" s="134">
        <v>0.1792</v>
      </c>
    </row>
    <row r="1308" spans="3:12">
      <c r="C1308" s="161">
        <f t="shared" si="111"/>
        <v>2016</v>
      </c>
      <c r="D1308" s="35" t="s">
        <v>280</v>
      </c>
      <c r="E1308" s="227">
        <v>42705</v>
      </c>
      <c r="F1308" s="156">
        <v>158587.47630000001</v>
      </c>
      <c r="G1308" s="131">
        <f t="shared" si="112"/>
        <v>28418.875752960001</v>
      </c>
      <c r="H1308" s="156">
        <v>3473.54</v>
      </c>
      <c r="I1308" s="156">
        <v>59.54</v>
      </c>
      <c r="J1308" s="156">
        <v>0</v>
      </c>
      <c r="K1308" s="131">
        <f t="shared" si="113"/>
        <v>3533.08</v>
      </c>
      <c r="L1308" s="134">
        <v>0.1792</v>
      </c>
    </row>
    <row r="1309" spans="3:12">
      <c r="C1309" s="161">
        <f t="shared" si="111"/>
        <v>2017</v>
      </c>
      <c r="D1309" s="35" t="s">
        <v>280</v>
      </c>
      <c r="E1309" s="227">
        <v>42736</v>
      </c>
      <c r="F1309" s="156">
        <v>167872.91647500001</v>
      </c>
      <c r="G1309" s="131">
        <f t="shared" si="112"/>
        <v>30082.82663232</v>
      </c>
      <c r="H1309" s="156">
        <v>60676.639999999999</v>
      </c>
      <c r="I1309" s="156">
        <v>0</v>
      </c>
      <c r="J1309" s="156">
        <v>2240.66</v>
      </c>
      <c r="K1309" s="131">
        <f t="shared" si="113"/>
        <v>62917.3</v>
      </c>
      <c r="L1309" s="134">
        <v>0.1792</v>
      </c>
    </row>
    <row r="1310" spans="3:12">
      <c r="C1310" s="161">
        <f t="shared" si="111"/>
        <v>2017</v>
      </c>
      <c r="D1310" s="35" t="s">
        <v>280</v>
      </c>
      <c r="E1310" s="227">
        <v>42767</v>
      </c>
      <c r="F1310" s="156">
        <v>156258.17790000001</v>
      </c>
      <c r="G1310" s="131">
        <f t="shared" si="112"/>
        <v>28001.465479680002</v>
      </c>
      <c r="H1310" s="156">
        <v>1221.2</v>
      </c>
      <c r="I1310" s="156">
        <v>55489.73</v>
      </c>
      <c r="J1310" s="156">
        <v>974.2</v>
      </c>
      <c r="K1310" s="131">
        <f t="shared" si="113"/>
        <v>57685.13</v>
      </c>
      <c r="L1310" s="134">
        <v>0.1792</v>
      </c>
    </row>
    <row r="1311" spans="3:12">
      <c r="C1311" s="161">
        <f t="shared" si="111"/>
        <v>2017</v>
      </c>
      <c r="D1311" s="35" t="s">
        <v>280</v>
      </c>
      <c r="E1311" s="227">
        <v>42795</v>
      </c>
      <c r="F1311" s="156">
        <v>159086.39000000001</v>
      </c>
      <c r="G1311" s="131">
        <f t="shared" si="112"/>
        <v>28508.281088000003</v>
      </c>
      <c r="H1311" s="156">
        <v>897.73</v>
      </c>
      <c r="I1311" s="156">
        <v>95147.76</v>
      </c>
      <c r="J1311" s="156">
        <v>0</v>
      </c>
      <c r="K1311" s="131">
        <f t="shared" si="113"/>
        <v>96045.489999999991</v>
      </c>
      <c r="L1311" s="134">
        <v>0.1792</v>
      </c>
    </row>
    <row r="1312" spans="3:12">
      <c r="C1312" s="161">
        <f t="shared" si="111"/>
        <v>2017</v>
      </c>
      <c r="D1312" s="35" t="s">
        <v>280</v>
      </c>
      <c r="E1312" s="227">
        <v>42826</v>
      </c>
      <c r="F1312" s="156">
        <v>164389.07</v>
      </c>
      <c r="G1312" s="131">
        <f t="shared" si="112"/>
        <v>29458.521344000001</v>
      </c>
      <c r="H1312" s="156">
        <v>724.12</v>
      </c>
      <c r="I1312" s="156">
        <v>61.79</v>
      </c>
      <c r="J1312" s="156">
        <v>0</v>
      </c>
      <c r="K1312" s="131">
        <f t="shared" si="113"/>
        <v>785.91</v>
      </c>
      <c r="L1312" s="134">
        <v>0.1792</v>
      </c>
    </row>
    <row r="1313" spans="3:12">
      <c r="C1313" s="161">
        <f t="shared" si="111"/>
        <v>2017</v>
      </c>
      <c r="D1313" s="35" t="s">
        <v>280</v>
      </c>
      <c r="E1313" s="227">
        <v>42856</v>
      </c>
      <c r="F1313" s="156">
        <v>140122.51999999999</v>
      </c>
      <c r="G1313" s="131">
        <f t="shared" si="112"/>
        <v>25109.955583999999</v>
      </c>
      <c r="H1313" s="156">
        <v>2605.59</v>
      </c>
      <c r="I1313" s="156">
        <v>0</v>
      </c>
      <c r="J1313" s="156">
        <v>0</v>
      </c>
      <c r="K1313" s="131">
        <f t="shared" si="113"/>
        <v>2605.59</v>
      </c>
      <c r="L1313" s="134">
        <v>0.1792</v>
      </c>
    </row>
    <row r="1314" spans="3:12">
      <c r="C1314" s="161">
        <f t="shared" si="111"/>
        <v>2017</v>
      </c>
      <c r="D1314" s="35" t="s">
        <v>280</v>
      </c>
      <c r="E1314" s="227">
        <v>42887</v>
      </c>
      <c r="F1314" s="156">
        <v>148296.54</v>
      </c>
      <c r="G1314" s="131">
        <f t="shared" si="112"/>
        <v>26574.739968000002</v>
      </c>
      <c r="H1314" s="156">
        <v>660.93</v>
      </c>
      <c r="I1314" s="156">
        <v>15517.15</v>
      </c>
      <c r="J1314" s="156">
        <v>0</v>
      </c>
      <c r="K1314" s="131">
        <f t="shared" si="113"/>
        <v>16178.08</v>
      </c>
      <c r="L1314" s="134">
        <v>0.1792</v>
      </c>
    </row>
    <row r="1315" spans="3:12">
      <c r="C1315" s="161">
        <f t="shared" si="111"/>
        <v>2017</v>
      </c>
      <c r="D1315" s="35" t="s">
        <v>280</v>
      </c>
      <c r="E1315" s="227">
        <v>42917</v>
      </c>
      <c r="F1315" s="156">
        <v>157673.01999999999</v>
      </c>
      <c r="G1315" s="131">
        <f t="shared" si="112"/>
        <v>28255.005183999998</v>
      </c>
      <c r="H1315" s="156">
        <v>498.6</v>
      </c>
      <c r="I1315" s="156">
        <v>248.16</v>
      </c>
      <c r="J1315" s="156">
        <v>0</v>
      </c>
      <c r="K1315" s="131">
        <f t="shared" si="113"/>
        <v>746.76</v>
      </c>
      <c r="L1315" s="134">
        <v>0.1792</v>
      </c>
    </row>
    <row r="1316" spans="3:12">
      <c r="C1316" s="161">
        <f t="shared" si="111"/>
        <v>2017</v>
      </c>
      <c r="D1316" s="35" t="s">
        <v>280</v>
      </c>
      <c r="E1316" s="227">
        <v>42948</v>
      </c>
      <c r="F1316" s="156">
        <v>165782.13</v>
      </c>
      <c r="G1316" s="131">
        <f t="shared" si="112"/>
        <v>29708.157696000002</v>
      </c>
      <c r="H1316" s="156">
        <v>667.86</v>
      </c>
      <c r="I1316" s="156">
        <v>180.55</v>
      </c>
      <c r="J1316" s="156">
        <v>0</v>
      </c>
      <c r="K1316" s="131">
        <f t="shared" si="113"/>
        <v>848.41000000000008</v>
      </c>
      <c r="L1316" s="134">
        <v>0.1792</v>
      </c>
    </row>
    <row r="1317" spans="3:12">
      <c r="C1317" s="161">
        <f t="shared" si="111"/>
        <v>2017</v>
      </c>
      <c r="D1317" s="35" t="s">
        <v>280</v>
      </c>
      <c r="E1317" s="227">
        <v>42979</v>
      </c>
      <c r="F1317" s="156">
        <v>178943.35999999999</v>
      </c>
      <c r="G1317" s="131">
        <f t="shared" si="112"/>
        <v>32066.650111999996</v>
      </c>
      <c r="H1317" s="156">
        <v>1309.01</v>
      </c>
      <c r="I1317" s="156">
        <v>43.06</v>
      </c>
      <c r="J1317" s="156">
        <v>0</v>
      </c>
      <c r="K1317" s="131">
        <f t="shared" si="113"/>
        <v>1352.07</v>
      </c>
      <c r="L1317" s="134">
        <v>0.1792</v>
      </c>
    </row>
    <row r="1318" spans="3:12">
      <c r="C1318" s="161">
        <f t="shared" si="111"/>
        <v>2017</v>
      </c>
      <c r="D1318" s="35" t="s">
        <v>280</v>
      </c>
      <c r="E1318" s="227">
        <v>43009</v>
      </c>
      <c r="F1318" s="156">
        <v>170622.01</v>
      </c>
      <c r="G1318" s="131">
        <f t="shared" si="112"/>
        <v>30575.464192000003</v>
      </c>
      <c r="H1318" s="156">
        <v>283460.03000000003</v>
      </c>
      <c r="I1318" s="156">
        <v>0</v>
      </c>
      <c r="J1318" s="156">
        <v>0</v>
      </c>
      <c r="K1318" s="131">
        <f t="shared" si="113"/>
        <v>283460.03000000003</v>
      </c>
      <c r="L1318" s="134">
        <v>0.1792</v>
      </c>
    </row>
    <row r="1319" spans="3:12">
      <c r="C1319" s="161">
        <f t="shared" si="111"/>
        <v>2017</v>
      </c>
      <c r="D1319" s="35" t="s">
        <v>280</v>
      </c>
      <c r="E1319" s="227">
        <v>43040</v>
      </c>
      <c r="F1319" s="156">
        <v>163198.54999999999</v>
      </c>
      <c r="G1319" s="131">
        <f t="shared" si="112"/>
        <v>29245.180159999996</v>
      </c>
      <c r="H1319" s="156">
        <v>13076.2</v>
      </c>
      <c r="I1319" s="156">
        <v>195.63</v>
      </c>
      <c r="J1319" s="156">
        <v>0</v>
      </c>
      <c r="K1319" s="131">
        <f t="shared" si="113"/>
        <v>13271.83</v>
      </c>
      <c r="L1319" s="134">
        <v>0.1792</v>
      </c>
    </row>
    <row r="1320" spans="3:12">
      <c r="C1320" s="161">
        <f t="shared" si="111"/>
        <v>2017</v>
      </c>
      <c r="D1320" s="35" t="s">
        <v>280</v>
      </c>
      <c r="E1320" s="227">
        <v>43070</v>
      </c>
      <c r="F1320" s="156">
        <v>174168.29</v>
      </c>
      <c r="G1320" s="131">
        <f t="shared" si="112"/>
        <v>31210.957568000002</v>
      </c>
      <c r="H1320" s="156">
        <v>71483.360000000001</v>
      </c>
      <c r="I1320" s="156">
        <v>64.680000000000007</v>
      </c>
      <c r="J1320" s="156">
        <v>0</v>
      </c>
      <c r="K1320" s="131">
        <f t="shared" si="113"/>
        <v>71548.039999999994</v>
      </c>
      <c r="L1320" s="134">
        <v>0.1792</v>
      </c>
    </row>
    <row r="1321" spans="3:12">
      <c r="C1321" s="161">
        <f t="shared" si="111"/>
        <v>2018</v>
      </c>
      <c r="D1321" s="35" t="s">
        <v>280</v>
      </c>
      <c r="E1321" s="227">
        <v>43101</v>
      </c>
      <c r="F1321" s="156">
        <v>167577.18</v>
      </c>
      <c r="G1321" s="131">
        <f t="shared" si="112"/>
        <v>30029.830655999998</v>
      </c>
      <c r="H1321" s="156">
        <v>133.65</v>
      </c>
      <c r="I1321" s="156">
        <v>443.85</v>
      </c>
      <c r="J1321" s="156">
        <v>0</v>
      </c>
      <c r="K1321" s="131">
        <f t="shared" si="113"/>
        <v>577.5</v>
      </c>
      <c r="L1321" s="134">
        <v>0.1792</v>
      </c>
    </row>
    <row r="1322" spans="3:12">
      <c r="C1322" s="161">
        <f t="shared" si="111"/>
        <v>2018</v>
      </c>
      <c r="D1322" s="35" t="s">
        <v>280</v>
      </c>
      <c r="E1322" s="227">
        <v>43132</v>
      </c>
      <c r="F1322" s="156">
        <v>173519.3</v>
      </c>
      <c r="G1322" s="131">
        <f t="shared" si="112"/>
        <v>31094.658559999996</v>
      </c>
      <c r="H1322" s="156">
        <v>14582.69</v>
      </c>
      <c r="I1322" s="156">
        <v>562.08000000000004</v>
      </c>
      <c r="J1322" s="156">
        <v>0</v>
      </c>
      <c r="K1322" s="131">
        <f t="shared" si="113"/>
        <v>15144.77</v>
      </c>
      <c r="L1322" s="134">
        <v>0.1792</v>
      </c>
    </row>
    <row r="1323" spans="3:12">
      <c r="C1323" s="161">
        <f t="shared" si="111"/>
        <v>2018</v>
      </c>
      <c r="D1323" s="35" t="s">
        <v>280</v>
      </c>
      <c r="E1323" s="227">
        <v>43160</v>
      </c>
      <c r="F1323" s="156">
        <v>161598.38</v>
      </c>
      <c r="G1323" s="131">
        <f t="shared" si="112"/>
        <v>28958.429695999999</v>
      </c>
      <c r="H1323" s="156">
        <v>43.32</v>
      </c>
      <c r="I1323" s="156">
        <v>0</v>
      </c>
      <c r="J1323" s="156">
        <v>0</v>
      </c>
      <c r="K1323" s="131">
        <f t="shared" si="113"/>
        <v>43.32</v>
      </c>
      <c r="L1323" s="134">
        <v>0.1792</v>
      </c>
    </row>
    <row r="1324" spans="3:12">
      <c r="C1324" s="161">
        <f t="shared" si="111"/>
        <v>2018</v>
      </c>
      <c r="D1324" s="35" t="s">
        <v>280</v>
      </c>
      <c r="E1324" s="227">
        <v>43191</v>
      </c>
      <c r="F1324" s="156">
        <v>160811.26999999999</v>
      </c>
      <c r="G1324" s="131">
        <f t="shared" si="112"/>
        <v>28817.379583999998</v>
      </c>
      <c r="H1324" s="156">
        <v>274.3</v>
      </c>
      <c r="I1324" s="156">
        <v>176.99</v>
      </c>
      <c r="J1324" s="156">
        <v>0</v>
      </c>
      <c r="K1324" s="131">
        <f t="shared" si="113"/>
        <v>451.29</v>
      </c>
      <c r="L1324" s="134">
        <v>0.1792</v>
      </c>
    </row>
    <row r="1325" spans="3:12">
      <c r="C1325" s="161">
        <f t="shared" si="111"/>
        <v>2018</v>
      </c>
      <c r="D1325" s="35" t="s">
        <v>280</v>
      </c>
      <c r="E1325" s="227">
        <v>43221</v>
      </c>
      <c r="F1325" s="156">
        <v>163164.76</v>
      </c>
      <c r="G1325" s="131">
        <f t="shared" si="112"/>
        <v>29239.124992000001</v>
      </c>
      <c r="H1325" s="156">
        <v>68917.53</v>
      </c>
      <c r="I1325" s="156">
        <v>517.16999999999996</v>
      </c>
      <c r="J1325" s="156">
        <v>0</v>
      </c>
      <c r="K1325" s="131">
        <f t="shared" si="113"/>
        <v>69434.7</v>
      </c>
      <c r="L1325" s="134">
        <v>0.1792</v>
      </c>
    </row>
    <row r="1326" spans="3:12">
      <c r="C1326" s="161">
        <f t="shared" si="111"/>
        <v>2018</v>
      </c>
      <c r="D1326" s="35" t="s">
        <v>280</v>
      </c>
      <c r="E1326" s="227">
        <v>43252</v>
      </c>
      <c r="F1326" s="156">
        <v>158770.15</v>
      </c>
      <c r="G1326" s="131">
        <f t="shared" si="112"/>
        <v>28451.61088</v>
      </c>
      <c r="H1326" s="156">
        <v>1167.33</v>
      </c>
      <c r="I1326" s="156">
        <v>1135.57</v>
      </c>
      <c r="J1326" s="156">
        <v>0</v>
      </c>
      <c r="K1326" s="131">
        <f t="shared" si="113"/>
        <v>2302.8999999999996</v>
      </c>
      <c r="L1326" s="134">
        <v>0.1792</v>
      </c>
    </row>
    <row r="1327" spans="3:12">
      <c r="C1327" s="161">
        <f t="shared" si="111"/>
        <v>2018</v>
      </c>
      <c r="D1327" s="35" t="s">
        <v>280</v>
      </c>
      <c r="E1327" s="227">
        <v>43282</v>
      </c>
      <c r="F1327" s="156">
        <v>169149.25</v>
      </c>
      <c r="G1327" s="131">
        <f t="shared" si="112"/>
        <v>30311.545600000001</v>
      </c>
      <c r="H1327" s="156">
        <v>7183.47</v>
      </c>
      <c r="I1327" s="156">
        <v>54.17</v>
      </c>
      <c r="J1327" s="156">
        <v>5278</v>
      </c>
      <c r="K1327" s="131">
        <f t="shared" si="113"/>
        <v>12515.64</v>
      </c>
      <c r="L1327" s="134">
        <v>0.1792</v>
      </c>
    </row>
    <row r="1328" spans="3:12">
      <c r="C1328" s="161">
        <f t="shared" si="111"/>
        <v>2018</v>
      </c>
      <c r="D1328" s="35" t="s">
        <v>280</v>
      </c>
      <c r="E1328" s="227">
        <v>43313</v>
      </c>
      <c r="F1328" s="156">
        <v>170891.87</v>
      </c>
      <c r="G1328" s="131">
        <f t="shared" si="112"/>
        <v>30623.823103999999</v>
      </c>
      <c r="H1328" s="156">
        <v>297.52</v>
      </c>
      <c r="I1328" s="156">
        <v>94.08</v>
      </c>
      <c r="J1328" s="156">
        <v>0</v>
      </c>
      <c r="K1328" s="131">
        <f t="shared" si="113"/>
        <v>391.59999999999997</v>
      </c>
      <c r="L1328" s="134">
        <v>0.1792</v>
      </c>
    </row>
    <row r="1329" spans="3:12">
      <c r="C1329" s="161">
        <f t="shared" si="111"/>
        <v>2018</v>
      </c>
      <c r="D1329" s="35" t="s">
        <v>280</v>
      </c>
      <c r="E1329" s="227">
        <v>43344</v>
      </c>
      <c r="F1329" s="156">
        <v>177173.84</v>
      </c>
      <c r="G1329" s="131">
        <f t="shared" si="112"/>
        <v>31749.552127999999</v>
      </c>
      <c r="H1329" s="156">
        <v>774.96</v>
      </c>
      <c r="I1329" s="156">
        <v>141.12</v>
      </c>
      <c r="J1329" s="156">
        <v>0</v>
      </c>
      <c r="K1329" s="131">
        <f t="shared" si="113"/>
        <v>916.08</v>
      </c>
      <c r="L1329" s="134">
        <v>0.1792</v>
      </c>
    </row>
    <row r="1330" spans="3:12">
      <c r="C1330" s="161">
        <f t="shared" si="111"/>
        <v>2018</v>
      </c>
      <c r="D1330" s="35" t="s">
        <v>280</v>
      </c>
      <c r="E1330" s="227">
        <v>43374</v>
      </c>
      <c r="F1330" s="156">
        <v>183331.54</v>
      </c>
      <c r="G1330" s="131">
        <f t="shared" si="112"/>
        <v>32853.011967999999</v>
      </c>
      <c r="H1330" s="156">
        <v>2032.72</v>
      </c>
      <c r="I1330" s="156">
        <v>645.87</v>
      </c>
      <c r="J1330" s="156">
        <v>472.09</v>
      </c>
      <c r="K1330" s="131">
        <f t="shared" si="113"/>
        <v>3150.6800000000003</v>
      </c>
      <c r="L1330" s="134">
        <v>0.1792</v>
      </c>
    </row>
    <row r="1331" spans="3:12">
      <c r="C1331" s="161">
        <f t="shared" si="111"/>
        <v>2018</v>
      </c>
      <c r="D1331" s="35" t="s">
        <v>280</v>
      </c>
      <c r="E1331" s="227">
        <v>43405</v>
      </c>
      <c r="F1331" s="156">
        <v>191337.05497500001</v>
      </c>
      <c r="G1331" s="131">
        <f t="shared" si="112"/>
        <v>34287.600251520002</v>
      </c>
      <c r="H1331" s="156">
        <v>58915.61</v>
      </c>
      <c r="I1331" s="156">
        <v>678.74</v>
      </c>
      <c r="J1331" s="156">
        <v>0</v>
      </c>
      <c r="K1331" s="131">
        <f t="shared" si="113"/>
        <v>59594.35</v>
      </c>
      <c r="L1331" s="134">
        <v>0.1792</v>
      </c>
    </row>
    <row r="1332" spans="3:12">
      <c r="C1332" s="161">
        <f t="shared" si="111"/>
        <v>2018</v>
      </c>
      <c r="D1332" s="35" t="s">
        <v>280</v>
      </c>
      <c r="E1332" s="227">
        <v>43435</v>
      </c>
      <c r="F1332" s="156">
        <v>195053.8</v>
      </c>
      <c r="G1332" s="131">
        <f t="shared" si="112"/>
        <v>34953.640959999997</v>
      </c>
      <c r="H1332" s="156">
        <v>0</v>
      </c>
      <c r="I1332" s="156">
        <v>0</v>
      </c>
      <c r="J1332" s="156">
        <v>199000</v>
      </c>
      <c r="K1332" s="131">
        <f t="shared" si="113"/>
        <v>199000</v>
      </c>
      <c r="L1332" s="134">
        <v>0.1792</v>
      </c>
    </row>
    <row r="1333" spans="3:12">
      <c r="C1333" s="161">
        <f t="shared" si="111"/>
        <v>2019</v>
      </c>
      <c r="D1333" s="35" t="s">
        <v>280</v>
      </c>
      <c r="E1333" s="227">
        <v>43466</v>
      </c>
      <c r="F1333" s="156">
        <v>198715.47</v>
      </c>
      <c r="G1333" s="131">
        <f t="shared" si="112"/>
        <v>35609.812224000001</v>
      </c>
      <c r="H1333" s="156">
        <v>1809.47</v>
      </c>
      <c r="I1333" s="156">
        <v>652.71</v>
      </c>
      <c r="J1333" s="156">
        <v>0</v>
      </c>
      <c r="K1333" s="131">
        <f t="shared" si="113"/>
        <v>2462.1800000000003</v>
      </c>
      <c r="L1333" s="134">
        <v>0.1792</v>
      </c>
    </row>
    <row r="1334" spans="3:12">
      <c r="C1334" s="161">
        <f t="shared" si="111"/>
        <v>2019</v>
      </c>
      <c r="D1334" s="35" t="s">
        <v>280</v>
      </c>
      <c r="E1334" s="227">
        <v>43497</v>
      </c>
      <c r="F1334" s="156">
        <v>193436.79</v>
      </c>
      <c r="G1334" s="131">
        <f t="shared" si="112"/>
        <v>34663.872768000001</v>
      </c>
      <c r="H1334" s="156">
        <v>814.35</v>
      </c>
      <c r="I1334" s="156">
        <v>8379.33</v>
      </c>
      <c r="J1334" s="156">
        <v>0</v>
      </c>
      <c r="K1334" s="131">
        <f t="shared" si="113"/>
        <v>9193.68</v>
      </c>
      <c r="L1334" s="134">
        <v>0.1792</v>
      </c>
    </row>
    <row r="1335" spans="3:12">
      <c r="C1335" s="161">
        <f t="shared" si="111"/>
        <v>2019</v>
      </c>
      <c r="D1335" s="35" t="s">
        <v>280</v>
      </c>
      <c r="E1335" s="227">
        <v>43525</v>
      </c>
      <c r="F1335" s="156">
        <v>178923.28</v>
      </c>
      <c r="G1335" s="131">
        <f t="shared" si="112"/>
        <v>32063.051776</v>
      </c>
      <c r="H1335" s="156">
        <v>386.06</v>
      </c>
      <c r="I1335" s="156">
        <v>1676.88</v>
      </c>
      <c r="J1335" s="156">
        <v>0</v>
      </c>
      <c r="K1335" s="131">
        <f t="shared" si="113"/>
        <v>2062.94</v>
      </c>
      <c r="L1335" s="134">
        <v>0.1792</v>
      </c>
    </row>
    <row r="1336" spans="3:12">
      <c r="C1336" s="161">
        <f t="shared" si="111"/>
        <v>2019</v>
      </c>
      <c r="D1336" s="35" t="s">
        <v>280</v>
      </c>
      <c r="E1336" s="227">
        <v>43556</v>
      </c>
      <c r="F1336" s="156">
        <v>178124.86</v>
      </c>
      <c r="G1336" s="131">
        <f t="shared" si="112"/>
        <v>31919.974911999998</v>
      </c>
      <c r="H1336" s="156">
        <v>355.8</v>
      </c>
      <c r="I1336" s="156">
        <v>209.77</v>
      </c>
      <c r="J1336" s="156">
        <v>0</v>
      </c>
      <c r="K1336" s="131">
        <f t="shared" si="113"/>
        <v>565.57000000000005</v>
      </c>
      <c r="L1336" s="134">
        <v>0.1792</v>
      </c>
    </row>
    <row r="1337" spans="3:12">
      <c r="C1337" s="161">
        <f t="shared" si="111"/>
        <v>2019</v>
      </c>
      <c r="D1337" s="35" t="s">
        <v>280</v>
      </c>
      <c r="E1337" s="227">
        <v>43586</v>
      </c>
      <c r="F1337" s="156">
        <v>175373.95</v>
      </c>
      <c r="G1337" s="131">
        <f t="shared" si="112"/>
        <v>31427.011840000003</v>
      </c>
      <c r="H1337" s="156">
        <v>580357.04</v>
      </c>
      <c r="I1337" s="156">
        <v>1294.5</v>
      </c>
      <c r="J1337" s="156">
        <v>0</v>
      </c>
      <c r="K1337" s="131">
        <f t="shared" si="113"/>
        <v>581651.54</v>
      </c>
      <c r="L1337" s="134">
        <v>0.1792</v>
      </c>
    </row>
    <row r="1338" spans="3:12">
      <c r="C1338" s="161">
        <f t="shared" si="111"/>
        <v>2019</v>
      </c>
      <c r="D1338" s="35" t="s">
        <v>280</v>
      </c>
      <c r="E1338" s="227">
        <v>43617</v>
      </c>
      <c r="F1338" s="156">
        <v>174946.9</v>
      </c>
      <c r="G1338" s="131">
        <f t="shared" si="112"/>
        <v>31350.484479999999</v>
      </c>
      <c r="H1338" s="156">
        <v>1336.2</v>
      </c>
      <c r="I1338" s="156">
        <v>2768.93</v>
      </c>
      <c r="J1338" s="156">
        <v>0</v>
      </c>
      <c r="K1338" s="131">
        <f t="shared" si="113"/>
        <v>4105.13</v>
      </c>
      <c r="L1338" s="134">
        <v>0.1792</v>
      </c>
    </row>
    <row r="1339" spans="3:12">
      <c r="C1339" s="161">
        <f t="shared" si="111"/>
        <v>2019</v>
      </c>
      <c r="D1339" s="35" t="s">
        <v>280</v>
      </c>
      <c r="E1339" s="227">
        <v>43647</v>
      </c>
      <c r="F1339" s="156">
        <v>176968.36</v>
      </c>
      <c r="G1339" s="131">
        <f t="shared" si="112"/>
        <v>31712.730111999997</v>
      </c>
      <c r="H1339" s="156">
        <v>186918.59</v>
      </c>
      <c r="I1339" s="156">
        <v>303.45</v>
      </c>
      <c r="J1339" s="156">
        <v>0</v>
      </c>
      <c r="K1339" s="131">
        <f t="shared" si="113"/>
        <v>187222.04</v>
      </c>
      <c r="L1339" s="134">
        <v>0.1792</v>
      </c>
    </row>
    <row r="1340" spans="3:12">
      <c r="C1340" s="161">
        <f t="shared" si="111"/>
        <v>2019</v>
      </c>
      <c r="D1340" s="35" t="s">
        <v>280</v>
      </c>
      <c r="E1340" s="227">
        <v>43678</v>
      </c>
      <c r="F1340" s="156">
        <v>189733.83</v>
      </c>
      <c r="G1340" s="131">
        <f t="shared" si="112"/>
        <v>34000.302336000001</v>
      </c>
      <c r="H1340" s="156">
        <v>279988.63</v>
      </c>
      <c r="I1340" s="156">
        <v>127.61</v>
      </c>
      <c r="J1340" s="156">
        <v>0</v>
      </c>
      <c r="K1340" s="131">
        <f t="shared" si="113"/>
        <v>280116.24</v>
      </c>
      <c r="L1340" s="134">
        <v>0.1792</v>
      </c>
    </row>
    <row r="1341" spans="3:12">
      <c r="C1341" s="161">
        <f t="shared" si="111"/>
        <v>2019</v>
      </c>
      <c r="D1341" s="35" t="s">
        <v>280</v>
      </c>
      <c r="E1341" s="227">
        <v>43709</v>
      </c>
      <c r="F1341" s="156">
        <v>205396.18</v>
      </c>
      <c r="G1341" s="131">
        <f t="shared" si="112"/>
        <v>36806.995455999997</v>
      </c>
      <c r="H1341" s="156">
        <v>428057.64</v>
      </c>
      <c r="I1341" s="156">
        <v>570.52</v>
      </c>
      <c r="J1341" s="156">
        <v>7528.26</v>
      </c>
      <c r="K1341" s="131">
        <f t="shared" si="113"/>
        <v>436156.42000000004</v>
      </c>
      <c r="L1341" s="134">
        <v>0.1792</v>
      </c>
    </row>
    <row r="1342" spans="3:12">
      <c r="C1342" s="161">
        <f t="shared" si="111"/>
        <v>2019</v>
      </c>
      <c r="D1342" s="35" t="s">
        <v>280</v>
      </c>
      <c r="E1342" s="227">
        <v>43739</v>
      </c>
      <c r="F1342" s="156">
        <v>206695.96</v>
      </c>
      <c r="G1342" s="131">
        <f t="shared" si="112"/>
        <v>37039.916032000001</v>
      </c>
      <c r="H1342" s="156">
        <v>566.4</v>
      </c>
      <c r="I1342" s="156">
        <v>-7413.46</v>
      </c>
      <c r="J1342" s="156">
        <v>2378.4</v>
      </c>
      <c r="K1342" s="131">
        <f t="shared" si="113"/>
        <v>-4468.66</v>
      </c>
      <c r="L1342" s="134">
        <v>0.1792</v>
      </c>
    </row>
    <row r="1343" spans="3:12">
      <c r="C1343" s="161">
        <f t="shared" si="111"/>
        <v>2019</v>
      </c>
      <c r="D1343" s="35" t="s">
        <v>280</v>
      </c>
      <c r="E1343" s="227">
        <v>43770</v>
      </c>
      <c r="F1343" s="156">
        <v>222113.57</v>
      </c>
      <c r="G1343" s="131">
        <f t="shared" si="112"/>
        <v>39802.751744000001</v>
      </c>
      <c r="H1343" s="156">
        <v>157520.03</v>
      </c>
      <c r="I1343" s="156">
        <v>3531.79</v>
      </c>
      <c r="J1343" s="156">
        <v>0</v>
      </c>
      <c r="K1343" s="131">
        <f t="shared" si="113"/>
        <v>161051.82</v>
      </c>
      <c r="L1343" s="134">
        <v>0.1792</v>
      </c>
    </row>
    <row r="1344" spans="3:12">
      <c r="C1344" s="161">
        <f t="shared" si="111"/>
        <v>2019</v>
      </c>
      <c r="D1344" s="35" t="s">
        <v>280</v>
      </c>
      <c r="E1344" s="227">
        <v>43800</v>
      </c>
      <c r="F1344" s="156">
        <v>199062.42</v>
      </c>
      <c r="G1344" s="131">
        <f t="shared" si="112"/>
        <v>35671.985664</v>
      </c>
      <c r="H1344" s="156">
        <v>13384.13</v>
      </c>
      <c r="I1344" s="156">
        <v>575.01</v>
      </c>
      <c r="J1344" s="156">
        <v>0</v>
      </c>
      <c r="K1344" s="131">
        <f t="shared" si="113"/>
        <v>13959.14</v>
      </c>
      <c r="L1344" s="134">
        <v>0.1792</v>
      </c>
    </row>
    <row r="1345" spans="3:12">
      <c r="C1345" s="161">
        <f t="shared" si="111"/>
        <v>2020</v>
      </c>
      <c r="D1345" s="35" t="s">
        <v>280</v>
      </c>
      <c r="E1345" s="227">
        <v>43831</v>
      </c>
      <c r="F1345" s="156">
        <v>200736.32</v>
      </c>
      <c r="G1345" s="131">
        <f t="shared" si="112"/>
        <v>35971.948543999999</v>
      </c>
      <c r="H1345" s="156">
        <v>2457</v>
      </c>
      <c r="I1345" s="156">
        <v>3955.96</v>
      </c>
      <c r="J1345" s="156">
        <v>0</v>
      </c>
      <c r="K1345" s="131">
        <f t="shared" si="113"/>
        <v>6412.96</v>
      </c>
      <c r="L1345" s="134">
        <v>0.1792</v>
      </c>
    </row>
    <row r="1346" spans="3:12">
      <c r="C1346" s="161">
        <f t="shared" si="111"/>
        <v>2020</v>
      </c>
      <c r="D1346" s="35" t="s">
        <v>280</v>
      </c>
      <c r="E1346" s="227">
        <v>43862</v>
      </c>
      <c r="F1346" s="156">
        <v>207066.83</v>
      </c>
      <c r="G1346" s="131">
        <f t="shared" si="112"/>
        <v>37106.375935999997</v>
      </c>
      <c r="H1346" s="156">
        <v>139552.54</v>
      </c>
      <c r="I1346" s="156">
        <v>11777.47</v>
      </c>
      <c r="J1346" s="156">
        <v>1717.31</v>
      </c>
      <c r="K1346" s="131">
        <f t="shared" si="113"/>
        <v>153047.32</v>
      </c>
      <c r="L1346" s="134">
        <v>0.1792</v>
      </c>
    </row>
    <row r="1347" spans="3:12">
      <c r="C1347" s="161">
        <f t="shared" si="111"/>
        <v>2020</v>
      </c>
      <c r="D1347" s="35" t="s">
        <v>280</v>
      </c>
      <c r="E1347" s="227">
        <v>43891</v>
      </c>
      <c r="F1347" s="156">
        <v>199744.316475</v>
      </c>
      <c r="G1347" s="131">
        <f t="shared" si="112"/>
        <v>35794.181512319999</v>
      </c>
      <c r="H1347" s="156">
        <v>1000.17</v>
      </c>
      <c r="I1347" s="156">
        <v>10552.88</v>
      </c>
      <c r="J1347" s="156">
        <v>0</v>
      </c>
      <c r="K1347" s="131">
        <f t="shared" si="113"/>
        <v>11553.05</v>
      </c>
      <c r="L1347" s="134">
        <v>0.1792</v>
      </c>
    </row>
    <row r="1348" spans="3:12">
      <c r="C1348" s="161">
        <f t="shared" ref="C1348:C1411" si="114">YEAR(E1348)</f>
        <v>2020</v>
      </c>
      <c r="D1348" s="35" t="s">
        <v>280</v>
      </c>
      <c r="E1348" s="227">
        <v>43922</v>
      </c>
      <c r="F1348" s="156">
        <v>179250.44362500001</v>
      </c>
      <c r="G1348" s="131">
        <f t="shared" ref="G1348:G1411" si="115">F1348*L1348</f>
        <v>32121.679497600002</v>
      </c>
      <c r="H1348" s="156">
        <v>831.01</v>
      </c>
      <c r="I1348" s="156">
        <v>1494.1</v>
      </c>
      <c r="J1348" s="156">
        <v>0</v>
      </c>
      <c r="K1348" s="131">
        <f t="shared" ref="K1348:K1411" si="116">SUM(H1348:J1348)</f>
        <v>2325.1099999999997</v>
      </c>
      <c r="L1348" s="134">
        <v>0.1792</v>
      </c>
    </row>
    <row r="1349" spans="3:12">
      <c r="C1349" s="161">
        <f t="shared" si="114"/>
        <v>2020</v>
      </c>
      <c r="D1349" s="35" t="s">
        <v>280</v>
      </c>
      <c r="E1349" s="227">
        <v>43952</v>
      </c>
      <c r="F1349" s="156">
        <v>190288.16</v>
      </c>
      <c r="G1349" s="131">
        <f t="shared" si="115"/>
        <v>34099.638272000004</v>
      </c>
      <c r="H1349" s="156">
        <v>145931.93</v>
      </c>
      <c r="I1349" s="156">
        <v>2608.8200000000002</v>
      </c>
      <c r="J1349" s="156">
        <v>0</v>
      </c>
      <c r="K1349" s="131">
        <f t="shared" si="116"/>
        <v>148540.75</v>
      </c>
      <c r="L1349" s="134">
        <v>0.1792</v>
      </c>
    </row>
    <row r="1350" spans="3:12">
      <c r="C1350" s="161">
        <f t="shared" si="114"/>
        <v>2020</v>
      </c>
      <c r="D1350" s="35" t="s">
        <v>280</v>
      </c>
      <c r="E1350" s="227">
        <v>43983</v>
      </c>
      <c r="F1350" s="156">
        <v>187468.13</v>
      </c>
      <c r="G1350" s="131">
        <f t="shared" si="115"/>
        <v>33594.288895999998</v>
      </c>
      <c r="H1350" s="156">
        <v>2874.91</v>
      </c>
      <c r="I1350" s="156">
        <v>3204.7</v>
      </c>
      <c r="J1350" s="156">
        <v>0</v>
      </c>
      <c r="K1350" s="131">
        <f t="shared" si="116"/>
        <v>6079.61</v>
      </c>
      <c r="L1350" s="134">
        <v>0.1792</v>
      </c>
    </row>
    <row r="1351" spans="3:12">
      <c r="C1351" s="161">
        <f t="shared" si="114"/>
        <v>2020</v>
      </c>
      <c r="D1351" s="35" t="s">
        <v>280</v>
      </c>
      <c r="E1351" s="227">
        <v>44013</v>
      </c>
      <c r="F1351" s="156">
        <v>189582.2</v>
      </c>
      <c r="G1351" s="131">
        <f t="shared" si="115"/>
        <v>33973.130239999999</v>
      </c>
      <c r="H1351" s="156">
        <v>2712.52</v>
      </c>
      <c r="I1351" s="156">
        <v>7272.32</v>
      </c>
      <c r="J1351" s="156">
        <v>0</v>
      </c>
      <c r="K1351" s="131">
        <f t="shared" si="116"/>
        <v>9984.84</v>
      </c>
      <c r="L1351" s="134">
        <v>0.1792</v>
      </c>
    </row>
    <row r="1352" spans="3:12">
      <c r="C1352" s="161">
        <f t="shared" si="114"/>
        <v>2020</v>
      </c>
      <c r="D1352" s="35" t="s">
        <v>280</v>
      </c>
      <c r="E1352" s="227">
        <v>44044</v>
      </c>
      <c r="F1352" s="156">
        <v>198627.73</v>
      </c>
      <c r="G1352" s="131">
        <f t="shared" si="115"/>
        <v>35594.089216</v>
      </c>
      <c r="H1352" s="156">
        <v>1545.37</v>
      </c>
      <c r="I1352" s="156">
        <v>5107.9799999999996</v>
      </c>
      <c r="J1352" s="156">
        <v>0</v>
      </c>
      <c r="K1352" s="131">
        <f t="shared" si="116"/>
        <v>6653.3499999999995</v>
      </c>
      <c r="L1352" s="134">
        <v>0.1792</v>
      </c>
    </row>
    <row r="1353" spans="3:12">
      <c r="C1353" s="161">
        <f t="shared" si="114"/>
        <v>2020</v>
      </c>
      <c r="D1353" s="35" t="s">
        <v>280</v>
      </c>
      <c r="E1353" s="227">
        <v>44075</v>
      </c>
      <c r="F1353" s="156">
        <v>214239.03</v>
      </c>
      <c r="G1353" s="131">
        <f t="shared" si="115"/>
        <v>38391.634176</v>
      </c>
      <c r="H1353" s="156">
        <v>2104.3200000000002</v>
      </c>
      <c r="I1353" s="156">
        <v>4996.17</v>
      </c>
      <c r="J1353" s="156">
        <v>0</v>
      </c>
      <c r="K1353" s="131">
        <f t="shared" si="116"/>
        <v>7100.49</v>
      </c>
      <c r="L1353" s="134">
        <v>0.1792</v>
      </c>
    </row>
    <row r="1354" spans="3:12">
      <c r="C1354" s="161">
        <f t="shared" si="114"/>
        <v>2020</v>
      </c>
      <c r="D1354" s="35" t="s">
        <v>280</v>
      </c>
      <c r="E1354" s="227">
        <v>44105</v>
      </c>
      <c r="F1354" s="156">
        <v>235313.62</v>
      </c>
      <c r="G1354" s="131">
        <f t="shared" si="115"/>
        <v>42168.200703999995</v>
      </c>
      <c r="H1354" s="156">
        <v>98047.1</v>
      </c>
      <c r="I1354" s="156">
        <v>17556.07</v>
      </c>
      <c r="J1354" s="156">
        <v>0</v>
      </c>
      <c r="K1354" s="131">
        <f t="shared" si="116"/>
        <v>115603.17000000001</v>
      </c>
      <c r="L1354" s="134">
        <v>0.1792</v>
      </c>
    </row>
    <row r="1355" spans="3:12">
      <c r="C1355" s="161">
        <f t="shared" si="114"/>
        <v>2020</v>
      </c>
      <c r="D1355" s="35" t="s">
        <v>280</v>
      </c>
      <c r="E1355" s="227">
        <v>44136</v>
      </c>
      <c r="F1355" s="156">
        <v>218037.6</v>
      </c>
      <c r="G1355" s="131">
        <f t="shared" si="115"/>
        <v>39072.337919999998</v>
      </c>
      <c r="H1355" s="156">
        <v>14520.09</v>
      </c>
      <c r="I1355" s="156">
        <v>6354.89</v>
      </c>
      <c r="J1355" s="156">
        <v>0</v>
      </c>
      <c r="K1355" s="131">
        <f t="shared" si="116"/>
        <v>20874.98</v>
      </c>
      <c r="L1355" s="134">
        <v>0.1792</v>
      </c>
    </row>
    <row r="1356" spans="3:12">
      <c r="C1356" s="161">
        <f t="shared" si="114"/>
        <v>2020</v>
      </c>
      <c r="D1356" s="35" t="s">
        <v>280</v>
      </c>
      <c r="E1356" s="227">
        <v>44166</v>
      </c>
      <c r="F1356" s="156">
        <v>229127.03</v>
      </c>
      <c r="G1356" s="131">
        <f t="shared" si="115"/>
        <v>41059.563776000003</v>
      </c>
      <c r="H1356" s="156">
        <v>643.64</v>
      </c>
      <c r="I1356" s="156">
        <v>11811.73</v>
      </c>
      <c r="J1356" s="156">
        <v>0</v>
      </c>
      <c r="K1356" s="131">
        <f t="shared" si="116"/>
        <v>12455.369999999999</v>
      </c>
      <c r="L1356" s="134">
        <v>0.1792</v>
      </c>
    </row>
    <row r="1357" spans="3:12">
      <c r="C1357" s="161">
        <f t="shared" si="114"/>
        <v>2021</v>
      </c>
      <c r="D1357" s="35" t="s">
        <v>280</v>
      </c>
      <c r="E1357" s="227">
        <v>44197</v>
      </c>
      <c r="F1357" s="156">
        <v>236659.46</v>
      </c>
      <c r="G1357" s="131">
        <f t="shared" si="115"/>
        <v>42409.375231999999</v>
      </c>
      <c r="H1357" s="156">
        <v>490.82</v>
      </c>
      <c r="I1357" s="156">
        <v>4335.57</v>
      </c>
      <c r="J1357" s="156">
        <v>0</v>
      </c>
      <c r="K1357" s="131">
        <f t="shared" si="116"/>
        <v>4826.3899999999994</v>
      </c>
      <c r="L1357" s="134">
        <v>0.1792</v>
      </c>
    </row>
    <row r="1358" spans="3:12">
      <c r="C1358" s="161">
        <f t="shared" si="114"/>
        <v>2021</v>
      </c>
      <c r="D1358" s="35" t="s">
        <v>280</v>
      </c>
      <c r="E1358" s="227">
        <v>44229</v>
      </c>
      <c r="F1358" s="156">
        <v>224345.05</v>
      </c>
      <c r="G1358" s="131">
        <f t="shared" si="115"/>
        <v>40202.632959999995</v>
      </c>
      <c r="H1358" s="156">
        <v>512.20000000000005</v>
      </c>
      <c r="I1358" s="156">
        <v>1225.81</v>
      </c>
      <c r="J1358" s="156">
        <v>0</v>
      </c>
      <c r="K1358" s="131">
        <f t="shared" si="116"/>
        <v>1738.01</v>
      </c>
      <c r="L1358" s="134">
        <v>0.1792</v>
      </c>
    </row>
    <row r="1359" spans="3:12">
      <c r="C1359" s="161">
        <f t="shared" si="114"/>
        <v>2021</v>
      </c>
      <c r="D1359" s="35" t="s">
        <v>280</v>
      </c>
      <c r="E1359" s="227">
        <v>44258</v>
      </c>
      <c r="F1359" s="156">
        <v>216279.64</v>
      </c>
      <c r="G1359" s="131">
        <f t="shared" si="115"/>
        <v>38757.311487999999</v>
      </c>
      <c r="H1359" s="156">
        <v>227.86</v>
      </c>
      <c r="I1359" s="156">
        <v>5359.89</v>
      </c>
      <c r="J1359" s="156">
        <v>0</v>
      </c>
      <c r="K1359" s="131">
        <f t="shared" si="116"/>
        <v>5587.75</v>
      </c>
      <c r="L1359" s="134">
        <v>0.1792</v>
      </c>
    </row>
    <row r="1360" spans="3:12">
      <c r="C1360" s="161">
        <f t="shared" si="114"/>
        <v>2021</v>
      </c>
      <c r="D1360" s="35" t="s">
        <v>280</v>
      </c>
      <c r="E1360" s="227">
        <v>44290</v>
      </c>
      <c r="F1360" s="156">
        <v>232253.48</v>
      </c>
      <c r="G1360" s="131">
        <f t="shared" si="115"/>
        <v>41619.823616000001</v>
      </c>
      <c r="H1360" s="156">
        <v>1223.3900000000001</v>
      </c>
      <c r="I1360" s="156">
        <v>6354.06</v>
      </c>
      <c r="J1360" s="156">
        <v>0</v>
      </c>
      <c r="K1360" s="131">
        <f t="shared" si="116"/>
        <v>7577.4500000000007</v>
      </c>
      <c r="L1360" s="134">
        <v>0.1792</v>
      </c>
    </row>
    <row r="1361" spans="3:12">
      <c r="C1361" s="161">
        <f t="shared" si="114"/>
        <v>2021</v>
      </c>
      <c r="D1361" s="35" t="s">
        <v>280</v>
      </c>
      <c r="E1361" s="227">
        <v>44321</v>
      </c>
      <c r="F1361" s="156">
        <v>210968.95999999999</v>
      </c>
      <c r="G1361" s="131">
        <f t="shared" si="115"/>
        <v>37805.637631999998</v>
      </c>
      <c r="H1361" s="156">
        <v>690.83</v>
      </c>
      <c r="I1361" s="156">
        <v>145.80000000000001</v>
      </c>
      <c r="J1361" s="156">
        <v>0</v>
      </c>
      <c r="K1361" s="131">
        <f t="shared" si="116"/>
        <v>836.63000000000011</v>
      </c>
      <c r="L1361" s="134">
        <v>0.1792</v>
      </c>
    </row>
    <row r="1362" spans="3:12">
      <c r="C1362" s="161">
        <f t="shared" si="114"/>
        <v>2021</v>
      </c>
      <c r="D1362" s="35" t="s">
        <v>280</v>
      </c>
      <c r="E1362" s="227">
        <v>44353</v>
      </c>
      <c r="F1362" s="156">
        <v>214504</v>
      </c>
      <c r="G1362" s="131">
        <f t="shared" si="115"/>
        <v>38439.116799999996</v>
      </c>
      <c r="H1362" s="156">
        <v>205.77</v>
      </c>
      <c r="I1362" s="156">
        <v>0</v>
      </c>
      <c r="J1362" s="156">
        <v>0</v>
      </c>
      <c r="K1362" s="131">
        <f t="shared" si="116"/>
        <v>205.77</v>
      </c>
      <c r="L1362" s="134">
        <v>0.1792</v>
      </c>
    </row>
    <row r="1363" spans="3:12">
      <c r="C1363" s="161">
        <f t="shared" si="114"/>
        <v>2015</v>
      </c>
      <c r="D1363" s="35" t="s">
        <v>281</v>
      </c>
      <c r="E1363" s="227">
        <v>42309</v>
      </c>
      <c r="F1363" s="156">
        <v>2759900.1</v>
      </c>
      <c r="G1363" s="131">
        <f t="shared" si="115"/>
        <v>494574.09792000003</v>
      </c>
      <c r="H1363" s="156">
        <v>144992.91</v>
      </c>
      <c r="I1363" s="156">
        <v>81287.240000000005</v>
      </c>
      <c r="J1363" s="156">
        <v>0</v>
      </c>
      <c r="K1363" s="131">
        <f t="shared" si="116"/>
        <v>226280.15000000002</v>
      </c>
      <c r="L1363" s="134">
        <v>0.1792</v>
      </c>
    </row>
    <row r="1364" spans="3:12">
      <c r="C1364" s="161">
        <f t="shared" si="114"/>
        <v>2015</v>
      </c>
      <c r="D1364" s="35" t="s">
        <v>281</v>
      </c>
      <c r="E1364" s="227">
        <v>42339</v>
      </c>
      <c r="F1364" s="156">
        <v>2688247.38</v>
      </c>
      <c r="G1364" s="131">
        <f t="shared" si="115"/>
        <v>481733.93049599999</v>
      </c>
      <c r="H1364" s="156">
        <v>765569.41</v>
      </c>
      <c r="I1364" s="156">
        <v>227547.1</v>
      </c>
      <c r="J1364" s="156">
        <v>0</v>
      </c>
      <c r="K1364" s="131">
        <f t="shared" si="116"/>
        <v>993116.51</v>
      </c>
      <c r="L1364" s="134">
        <v>0.1792</v>
      </c>
    </row>
    <row r="1365" spans="3:12">
      <c r="C1365" s="161">
        <f t="shared" si="114"/>
        <v>2016</v>
      </c>
      <c r="D1365" s="35" t="s">
        <v>281</v>
      </c>
      <c r="E1365" s="227">
        <v>42370</v>
      </c>
      <c r="F1365" s="156">
        <v>2700492.22</v>
      </c>
      <c r="G1365" s="131">
        <f t="shared" si="115"/>
        <v>483928.205824</v>
      </c>
      <c r="H1365" s="156">
        <v>142947.82</v>
      </c>
      <c r="I1365" s="156">
        <v>351034</v>
      </c>
      <c r="J1365" s="156">
        <v>0</v>
      </c>
      <c r="K1365" s="131">
        <f t="shared" si="116"/>
        <v>493981.82</v>
      </c>
      <c r="L1365" s="134">
        <v>0.1792</v>
      </c>
    </row>
    <row r="1366" spans="3:12">
      <c r="C1366" s="161">
        <f t="shared" si="114"/>
        <v>2016</v>
      </c>
      <c r="D1366" s="35" t="s">
        <v>281</v>
      </c>
      <c r="E1366" s="227">
        <v>42401</v>
      </c>
      <c r="F1366" s="156">
        <v>2653413.21</v>
      </c>
      <c r="G1366" s="131">
        <f t="shared" si="115"/>
        <v>475491.64723200002</v>
      </c>
      <c r="H1366" s="156">
        <v>136835.17000000001</v>
      </c>
      <c r="I1366" s="156">
        <v>65878.03</v>
      </c>
      <c r="J1366" s="156">
        <v>0</v>
      </c>
      <c r="K1366" s="131">
        <f t="shared" si="116"/>
        <v>202713.2</v>
      </c>
      <c r="L1366" s="134">
        <v>0.1792</v>
      </c>
    </row>
    <row r="1367" spans="3:12">
      <c r="C1367" s="161">
        <f t="shared" si="114"/>
        <v>2016</v>
      </c>
      <c r="D1367" s="35" t="s">
        <v>281</v>
      </c>
      <c r="E1367" s="227">
        <v>42430</v>
      </c>
      <c r="F1367" s="156">
        <v>2547803.23</v>
      </c>
      <c r="G1367" s="131">
        <f t="shared" si="115"/>
        <v>456566.33881599997</v>
      </c>
      <c r="H1367" s="156">
        <v>516294.26</v>
      </c>
      <c r="I1367" s="156">
        <v>25839.88</v>
      </c>
      <c r="J1367" s="156">
        <v>0</v>
      </c>
      <c r="K1367" s="131">
        <f t="shared" si="116"/>
        <v>542134.14</v>
      </c>
      <c r="L1367" s="134">
        <v>0.1792</v>
      </c>
    </row>
    <row r="1368" spans="3:12">
      <c r="C1368" s="161">
        <f t="shared" si="114"/>
        <v>2016</v>
      </c>
      <c r="D1368" s="35" t="s">
        <v>281</v>
      </c>
      <c r="E1368" s="227">
        <v>42461</v>
      </c>
      <c r="F1368" s="156">
        <v>2452815.58</v>
      </c>
      <c r="G1368" s="131">
        <f t="shared" si="115"/>
        <v>439544.551936</v>
      </c>
      <c r="H1368" s="156">
        <v>697237.54</v>
      </c>
      <c r="I1368" s="156">
        <v>0</v>
      </c>
      <c r="J1368" s="156">
        <v>0</v>
      </c>
      <c r="K1368" s="131">
        <f t="shared" si="116"/>
        <v>697237.54</v>
      </c>
      <c r="L1368" s="134">
        <v>0.1792</v>
      </c>
    </row>
    <row r="1369" spans="3:12">
      <c r="C1369" s="161">
        <f t="shared" si="114"/>
        <v>2016</v>
      </c>
      <c r="D1369" s="35" t="s">
        <v>281</v>
      </c>
      <c r="E1369" s="227">
        <v>42491</v>
      </c>
      <c r="F1369" s="156">
        <v>2451111.41</v>
      </c>
      <c r="G1369" s="131">
        <f t="shared" si="115"/>
        <v>439239.16467200004</v>
      </c>
      <c r="H1369" s="156">
        <v>156738.04999999999</v>
      </c>
      <c r="I1369" s="156">
        <v>0</v>
      </c>
      <c r="J1369" s="156">
        <v>0</v>
      </c>
      <c r="K1369" s="131">
        <f t="shared" si="116"/>
        <v>156738.04999999999</v>
      </c>
      <c r="L1369" s="134">
        <v>0.1792</v>
      </c>
    </row>
    <row r="1370" spans="3:12">
      <c r="C1370" s="161">
        <f t="shared" si="114"/>
        <v>2016</v>
      </c>
      <c r="D1370" s="35" t="s">
        <v>281</v>
      </c>
      <c r="E1370" s="227">
        <v>42522</v>
      </c>
      <c r="F1370" s="156">
        <v>2343924.39</v>
      </c>
      <c r="G1370" s="131">
        <f t="shared" si="115"/>
        <v>420031.250688</v>
      </c>
      <c r="H1370" s="156">
        <v>262444.31</v>
      </c>
      <c r="I1370" s="156">
        <v>295951.03999999998</v>
      </c>
      <c r="J1370" s="156">
        <v>9129.42</v>
      </c>
      <c r="K1370" s="131">
        <f t="shared" si="116"/>
        <v>567524.77</v>
      </c>
      <c r="L1370" s="134">
        <v>0.1792</v>
      </c>
    </row>
    <row r="1371" spans="3:12">
      <c r="C1371" s="161">
        <f t="shared" si="114"/>
        <v>2016</v>
      </c>
      <c r="D1371" s="35" t="s">
        <v>281</v>
      </c>
      <c r="E1371" s="227">
        <v>42552</v>
      </c>
      <c r="F1371" s="156">
        <v>2696100.71</v>
      </c>
      <c r="G1371" s="131">
        <f t="shared" si="115"/>
        <v>483141.24723199999</v>
      </c>
      <c r="H1371" s="156">
        <v>192189.54</v>
      </c>
      <c r="I1371" s="156">
        <v>60917.1</v>
      </c>
      <c r="J1371" s="156">
        <v>0</v>
      </c>
      <c r="K1371" s="131">
        <f t="shared" si="116"/>
        <v>253106.64</v>
      </c>
      <c r="L1371" s="134">
        <v>0.1792</v>
      </c>
    </row>
    <row r="1372" spans="3:12">
      <c r="C1372" s="161">
        <f t="shared" si="114"/>
        <v>2016</v>
      </c>
      <c r="D1372" s="35" t="s">
        <v>281</v>
      </c>
      <c r="E1372" s="227">
        <v>42583</v>
      </c>
      <c r="F1372" s="156">
        <v>2685311.48</v>
      </c>
      <c r="G1372" s="131">
        <f t="shared" si="115"/>
        <v>481207.817216</v>
      </c>
      <c r="H1372" s="156">
        <v>184364.03</v>
      </c>
      <c r="I1372" s="156">
        <v>64302.79</v>
      </c>
      <c r="J1372" s="156">
        <v>4295.3500000000004</v>
      </c>
      <c r="K1372" s="131">
        <f t="shared" si="116"/>
        <v>252962.17</v>
      </c>
      <c r="L1372" s="134">
        <v>0.1792</v>
      </c>
    </row>
    <row r="1373" spans="3:12">
      <c r="C1373" s="161">
        <f t="shared" si="114"/>
        <v>2016</v>
      </c>
      <c r="D1373" s="35" t="s">
        <v>281</v>
      </c>
      <c r="E1373" s="227">
        <v>42614</v>
      </c>
      <c r="F1373" s="156">
        <v>2782837.48</v>
      </c>
      <c r="G1373" s="131">
        <f t="shared" si="115"/>
        <v>498684.47641599999</v>
      </c>
      <c r="H1373" s="156">
        <v>163235.92000000001</v>
      </c>
      <c r="I1373" s="156">
        <v>113458.9</v>
      </c>
      <c r="J1373" s="156">
        <v>0</v>
      </c>
      <c r="K1373" s="131">
        <f t="shared" si="116"/>
        <v>276694.82</v>
      </c>
      <c r="L1373" s="134">
        <v>0.1792</v>
      </c>
    </row>
    <row r="1374" spans="3:12">
      <c r="C1374" s="161">
        <f t="shared" si="114"/>
        <v>2016</v>
      </c>
      <c r="D1374" s="35" t="s">
        <v>281</v>
      </c>
      <c r="E1374" s="227">
        <v>42644</v>
      </c>
      <c r="F1374" s="156">
        <v>2770374.81</v>
      </c>
      <c r="G1374" s="131">
        <f t="shared" si="115"/>
        <v>496451.16595200001</v>
      </c>
      <c r="H1374" s="156">
        <v>279738.7</v>
      </c>
      <c r="I1374" s="156">
        <v>55049.88</v>
      </c>
      <c r="J1374" s="156">
        <v>4724.84</v>
      </c>
      <c r="K1374" s="131">
        <f t="shared" si="116"/>
        <v>339513.42000000004</v>
      </c>
      <c r="L1374" s="134">
        <v>0.1792</v>
      </c>
    </row>
    <row r="1375" spans="3:12">
      <c r="C1375" s="161">
        <f t="shared" si="114"/>
        <v>2016</v>
      </c>
      <c r="D1375" s="35" t="s">
        <v>281</v>
      </c>
      <c r="E1375" s="227">
        <v>42675</v>
      </c>
      <c r="F1375" s="156">
        <v>2921975.31</v>
      </c>
      <c r="G1375" s="131">
        <f t="shared" si="115"/>
        <v>523617.97555199999</v>
      </c>
      <c r="H1375" s="156">
        <v>428732.67</v>
      </c>
      <c r="I1375" s="156">
        <v>33517.410000000003</v>
      </c>
      <c r="J1375" s="156">
        <v>38982.1</v>
      </c>
      <c r="K1375" s="131">
        <f t="shared" si="116"/>
        <v>501232.17999999993</v>
      </c>
      <c r="L1375" s="134">
        <v>0.1792</v>
      </c>
    </row>
    <row r="1376" spans="3:12">
      <c r="C1376" s="161">
        <f t="shared" si="114"/>
        <v>2016</v>
      </c>
      <c r="D1376" s="35" t="s">
        <v>281</v>
      </c>
      <c r="E1376" s="227">
        <v>42705</v>
      </c>
      <c r="F1376" s="156">
        <v>2741680.95</v>
      </c>
      <c r="G1376" s="131">
        <f t="shared" si="115"/>
        <v>491309.22624000005</v>
      </c>
      <c r="H1376" s="156">
        <v>246820.34</v>
      </c>
      <c r="I1376" s="156">
        <v>72878.53</v>
      </c>
      <c r="J1376" s="156">
        <v>12320.34</v>
      </c>
      <c r="K1376" s="131">
        <f t="shared" si="116"/>
        <v>332019.21000000002</v>
      </c>
      <c r="L1376" s="134">
        <v>0.1792</v>
      </c>
    </row>
    <row r="1377" spans="3:12">
      <c r="C1377" s="161">
        <f t="shared" si="114"/>
        <v>2017</v>
      </c>
      <c r="D1377" s="35" t="s">
        <v>281</v>
      </c>
      <c r="E1377" s="227">
        <v>42736</v>
      </c>
      <c r="F1377" s="156">
        <v>3051386.75</v>
      </c>
      <c r="G1377" s="131">
        <f t="shared" si="115"/>
        <v>546808.50560000003</v>
      </c>
      <c r="H1377" s="156">
        <v>155657.09</v>
      </c>
      <c r="I1377" s="156">
        <v>12811.98</v>
      </c>
      <c r="J1377" s="156">
        <v>20285.07</v>
      </c>
      <c r="K1377" s="131">
        <f t="shared" si="116"/>
        <v>188754.14</v>
      </c>
      <c r="L1377" s="134">
        <v>0.1792</v>
      </c>
    </row>
    <row r="1378" spans="3:12">
      <c r="C1378" s="161">
        <f t="shared" si="114"/>
        <v>2017</v>
      </c>
      <c r="D1378" s="35" t="s">
        <v>281</v>
      </c>
      <c r="E1378" s="227">
        <v>42767</v>
      </c>
      <c r="F1378" s="156">
        <v>2714635.95</v>
      </c>
      <c r="G1378" s="131">
        <f t="shared" si="115"/>
        <v>486462.76224000001</v>
      </c>
      <c r="H1378" s="156">
        <v>257399.6</v>
      </c>
      <c r="I1378" s="156">
        <v>23785.96</v>
      </c>
      <c r="J1378" s="156">
        <v>2723.93</v>
      </c>
      <c r="K1378" s="131">
        <f t="shared" si="116"/>
        <v>283909.49</v>
      </c>
      <c r="L1378" s="134">
        <v>0.1792</v>
      </c>
    </row>
    <row r="1379" spans="3:12">
      <c r="C1379" s="161">
        <f t="shared" si="114"/>
        <v>2017</v>
      </c>
      <c r="D1379" s="35" t="s">
        <v>281</v>
      </c>
      <c r="E1379" s="227">
        <v>42795</v>
      </c>
      <c r="F1379" s="156">
        <v>2744178.16</v>
      </c>
      <c r="G1379" s="131">
        <f t="shared" si="115"/>
        <v>491756.726272</v>
      </c>
      <c r="H1379" s="156">
        <v>238289.15</v>
      </c>
      <c r="I1379" s="156">
        <v>66171.600000000006</v>
      </c>
      <c r="J1379" s="156">
        <v>6185.66</v>
      </c>
      <c r="K1379" s="131">
        <f t="shared" si="116"/>
        <v>310646.40999999997</v>
      </c>
      <c r="L1379" s="134">
        <v>0.1792</v>
      </c>
    </row>
    <row r="1380" spans="3:12">
      <c r="C1380" s="161">
        <f t="shared" si="114"/>
        <v>2017</v>
      </c>
      <c r="D1380" s="35" t="s">
        <v>281</v>
      </c>
      <c r="E1380" s="227">
        <v>42826</v>
      </c>
      <c r="F1380" s="156">
        <v>2658555.37</v>
      </c>
      <c r="G1380" s="131">
        <f t="shared" si="115"/>
        <v>476413.12230400002</v>
      </c>
      <c r="H1380" s="156">
        <v>99579.31</v>
      </c>
      <c r="I1380" s="156">
        <v>565.65</v>
      </c>
      <c r="J1380" s="156">
        <v>0</v>
      </c>
      <c r="K1380" s="131">
        <f t="shared" si="116"/>
        <v>100144.95999999999</v>
      </c>
      <c r="L1380" s="134">
        <v>0.1792</v>
      </c>
    </row>
    <row r="1381" spans="3:12">
      <c r="C1381" s="161">
        <f t="shared" si="114"/>
        <v>2017</v>
      </c>
      <c r="D1381" s="35" t="s">
        <v>281</v>
      </c>
      <c r="E1381" s="227">
        <v>42856</v>
      </c>
      <c r="F1381" s="156">
        <v>2653848.38</v>
      </c>
      <c r="G1381" s="131">
        <f t="shared" si="115"/>
        <v>475569.62969599996</v>
      </c>
      <c r="H1381" s="156">
        <v>160342.53</v>
      </c>
      <c r="I1381" s="156">
        <v>879.58</v>
      </c>
      <c r="J1381" s="156">
        <v>943.74</v>
      </c>
      <c r="K1381" s="131">
        <f t="shared" si="116"/>
        <v>162165.84999999998</v>
      </c>
      <c r="L1381" s="134">
        <v>0.1792</v>
      </c>
    </row>
    <row r="1382" spans="3:12">
      <c r="C1382" s="161">
        <f t="shared" si="114"/>
        <v>2017</v>
      </c>
      <c r="D1382" s="35" t="s">
        <v>281</v>
      </c>
      <c r="E1382" s="227">
        <v>42887</v>
      </c>
      <c r="F1382" s="156">
        <v>2678965.66</v>
      </c>
      <c r="G1382" s="131">
        <f t="shared" si="115"/>
        <v>480070.64627200004</v>
      </c>
      <c r="H1382" s="156">
        <v>60571.38</v>
      </c>
      <c r="I1382" s="156">
        <v>177.36</v>
      </c>
      <c r="J1382" s="156">
        <v>0</v>
      </c>
      <c r="K1382" s="131">
        <f t="shared" si="116"/>
        <v>60748.74</v>
      </c>
      <c r="L1382" s="134">
        <v>0.1792</v>
      </c>
    </row>
    <row r="1383" spans="3:12">
      <c r="C1383" s="161">
        <f t="shared" si="114"/>
        <v>2017</v>
      </c>
      <c r="D1383" s="35" t="s">
        <v>281</v>
      </c>
      <c r="E1383" s="227">
        <v>42917</v>
      </c>
      <c r="F1383" s="156">
        <v>2701652.86</v>
      </c>
      <c r="G1383" s="131">
        <f t="shared" si="115"/>
        <v>484136.19251199998</v>
      </c>
      <c r="H1383" s="156">
        <v>177314.52</v>
      </c>
      <c r="I1383" s="156">
        <v>3938.71</v>
      </c>
      <c r="J1383" s="156">
        <v>0</v>
      </c>
      <c r="K1383" s="131">
        <f t="shared" si="116"/>
        <v>181253.22999999998</v>
      </c>
      <c r="L1383" s="134">
        <v>0.1792</v>
      </c>
    </row>
    <row r="1384" spans="3:12">
      <c r="C1384" s="161">
        <f t="shared" si="114"/>
        <v>2017</v>
      </c>
      <c r="D1384" s="35" t="s">
        <v>281</v>
      </c>
      <c r="E1384" s="227">
        <v>42948</v>
      </c>
      <c r="F1384" s="156">
        <v>2813784.91</v>
      </c>
      <c r="G1384" s="131">
        <f t="shared" si="115"/>
        <v>504230.25587200001</v>
      </c>
      <c r="H1384" s="156">
        <v>306890.95</v>
      </c>
      <c r="I1384" s="156">
        <v>296045.05</v>
      </c>
      <c r="J1384" s="156">
        <v>0</v>
      </c>
      <c r="K1384" s="131">
        <f t="shared" si="116"/>
        <v>602936</v>
      </c>
      <c r="L1384" s="134">
        <v>0.1792</v>
      </c>
    </row>
    <row r="1385" spans="3:12">
      <c r="C1385" s="161">
        <f t="shared" si="114"/>
        <v>2017</v>
      </c>
      <c r="D1385" s="35" t="s">
        <v>281</v>
      </c>
      <c r="E1385" s="227">
        <v>42979</v>
      </c>
      <c r="F1385" s="156">
        <v>3060408.46</v>
      </c>
      <c r="G1385" s="131">
        <f t="shared" si="115"/>
        <v>548425.19603200001</v>
      </c>
      <c r="H1385" s="156">
        <v>8259.98</v>
      </c>
      <c r="I1385" s="156">
        <v>63441.95</v>
      </c>
      <c r="J1385" s="156">
        <v>14950</v>
      </c>
      <c r="K1385" s="131">
        <f t="shared" si="116"/>
        <v>86651.93</v>
      </c>
      <c r="L1385" s="134">
        <v>0.1792</v>
      </c>
    </row>
    <row r="1386" spans="3:12">
      <c r="C1386" s="161">
        <f t="shared" si="114"/>
        <v>2017</v>
      </c>
      <c r="D1386" s="35" t="s">
        <v>281</v>
      </c>
      <c r="E1386" s="227">
        <v>43009</v>
      </c>
      <c r="F1386" s="156">
        <v>2940345.74</v>
      </c>
      <c r="G1386" s="131">
        <f t="shared" si="115"/>
        <v>526909.95660799998</v>
      </c>
      <c r="H1386" s="156">
        <v>142038.93</v>
      </c>
      <c r="I1386" s="156">
        <v>24369.27</v>
      </c>
      <c r="J1386" s="156">
        <v>0</v>
      </c>
      <c r="K1386" s="131">
        <f t="shared" si="116"/>
        <v>166408.19999999998</v>
      </c>
      <c r="L1386" s="134">
        <v>0.1792</v>
      </c>
    </row>
    <row r="1387" spans="3:12">
      <c r="C1387" s="161">
        <f t="shared" si="114"/>
        <v>2017</v>
      </c>
      <c r="D1387" s="35" t="s">
        <v>281</v>
      </c>
      <c r="E1387" s="227">
        <v>43040</v>
      </c>
      <c r="F1387" s="156">
        <v>3077087.07</v>
      </c>
      <c r="G1387" s="131">
        <f t="shared" si="115"/>
        <v>551414.00294399995</v>
      </c>
      <c r="H1387" s="156">
        <v>776951.19</v>
      </c>
      <c r="I1387" s="156">
        <v>27653.3</v>
      </c>
      <c r="J1387" s="156">
        <v>0</v>
      </c>
      <c r="K1387" s="131">
        <f t="shared" si="116"/>
        <v>804604.49</v>
      </c>
      <c r="L1387" s="134">
        <v>0.1792</v>
      </c>
    </row>
    <row r="1388" spans="3:12">
      <c r="C1388" s="161">
        <f t="shared" si="114"/>
        <v>2017</v>
      </c>
      <c r="D1388" s="35" t="s">
        <v>281</v>
      </c>
      <c r="E1388" s="227">
        <v>43070</v>
      </c>
      <c r="F1388" s="156">
        <v>2914163.19</v>
      </c>
      <c r="G1388" s="131">
        <f t="shared" si="115"/>
        <v>522218.04364799999</v>
      </c>
      <c r="H1388" s="156">
        <v>10015.700000000001</v>
      </c>
      <c r="I1388" s="156">
        <v>55980.7</v>
      </c>
      <c r="J1388" s="156">
        <v>2934.55</v>
      </c>
      <c r="K1388" s="131">
        <f t="shared" si="116"/>
        <v>68930.95</v>
      </c>
      <c r="L1388" s="134">
        <v>0.1792</v>
      </c>
    </row>
    <row r="1389" spans="3:12">
      <c r="C1389" s="161">
        <f t="shared" si="114"/>
        <v>2018</v>
      </c>
      <c r="D1389" s="35" t="s">
        <v>281</v>
      </c>
      <c r="E1389" s="227">
        <v>43101</v>
      </c>
      <c r="F1389" s="156">
        <v>2925037.97</v>
      </c>
      <c r="G1389" s="131">
        <f t="shared" si="115"/>
        <v>524166.80422400002</v>
      </c>
      <c r="H1389" s="156">
        <v>10375.76</v>
      </c>
      <c r="I1389" s="156">
        <v>0</v>
      </c>
      <c r="J1389" s="156">
        <v>2934.55</v>
      </c>
      <c r="K1389" s="131">
        <f t="shared" si="116"/>
        <v>13310.310000000001</v>
      </c>
      <c r="L1389" s="134">
        <v>0.1792</v>
      </c>
    </row>
    <row r="1390" spans="3:12">
      <c r="C1390" s="161">
        <f t="shared" si="114"/>
        <v>2018</v>
      </c>
      <c r="D1390" s="35" t="s">
        <v>281</v>
      </c>
      <c r="E1390" s="227">
        <v>43132</v>
      </c>
      <c r="F1390" s="156">
        <v>3091735.45</v>
      </c>
      <c r="G1390" s="131">
        <f t="shared" si="115"/>
        <v>554038.99264000007</v>
      </c>
      <c r="H1390" s="156">
        <v>247493.12</v>
      </c>
      <c r="I1390" s="156">
        <v>0</v>
      </c>
      <c r="J1390" s="156">
        <v>0</v>
      </c>
      <c r="K1390" s="131">
        <f t="shared" si="116"/>
        <v>247493.12</v>
      </c>
      <c r="L1390" s="134">
        <v>0.1792</v>
      </c>
    </row>
    <row r="1391" spans="3:12">
      <c r="C1391" s="161">
        <f t="shared" si="114"/>
        <v>2018</v>
      </c>
      <c r="D1391" s="35" t="s">
        <v>281</v>
      </c>
      <c r="E1391" s="227">
        <v>43160</v>
      </c>
      <c r="F1391" s="156">
        <v>2540766.27</v>
      </c>
      <c r="G1391" s="131">
        <f t="shared" si="115"/>
        <v>455305.31558400003</v>
      </c>
      <c r="H1391" s="156">
        <v>246822.95</v>
      </c>
      <c r="I1391" s="156">
        <v>0</v>
      </c>
      <c r="J1391" s="156">
        <v>0</v>
      </c>
      <c r="K1391" s="131">
        <f t="shared" si="116"/>
        <v>246822.95</v>
      </c>
      <c r="L1391" s="134">
        <v>0.1792</v>
      </c>
    </row>
    <row r="1392" spans="3:12">
      <c r="C1392" s="161">
        <f t="shared" si="114"/>
        <v>2018</v>
      </c>
      <c r="D1392" s="35" t="s">
        <v>281</v>
      </c>
      <c r="E1392" s="227">
        <v>43191</v>
      </c>
      <c r="F1392" s="156">
        <v>2980863.6</v>
      </c>
      <c r="G1392" s="131">
        <f t="shared" si="115"/>
        <v>534170.75711999997</v>
      </c>
      <c r="H1392" s="156">
        <v>48305.82</v>
      </c>
      <c r="I1392" s="156">
        <v>3931.8</v>
      </c>
      <c r="J1392" s="156">
        <v>194000</v>
      </c>
      <c r="K1392" s="131">
        <f t="shared" si="116"/>
        <v>246237.62</v>
      </c>
      <c r="L1392" s="134">
        <v>0.1792</v>
      </c>
    </row>
    <row r="1393" spans="3:12">
      <c r="C1393" s="161">
        <f t="shared" si="114"/>
        <v>2018</v>
      </c>
      <c r="D1393" s="35" t="s">
        <v>281</v>
      </c>
      <c r="E1393" s="227">
        <v>43221</v>
      </c>
      <c r="F1393" s="156">
        <v>3004134.57</v>
      </c>
      <c r="G1393" s="131">
        <f t="shared" si="115"/>
        <v>538340.91494399996</v>
      </c>
      <c r="H1393" s="156">
        <v>128739.24</v>
      </c>
      <c r="I1393" s="156">
        <v>0</v>
      </c>
      <c r="J1393" s="156">
        <v>0</v>
      </c>
      <c r="K1393" s="131">
        <f t="shared" si="116"/>
        <v>128739.24</v>
      </c>
      <c r="L1393" s="134">
        <v>0.1792</v>
      </c>
    </row>
    <row r="1394" spans="3:12">
      <c r="C1394" s="161">
        <f t="shared" si="114"/>
        <v>2018</v>
      </c>
      <c r="D1394" s="35" t="s">
        <v>281</v>
      </c>
      <c r="E1394" s="227">
        <v>43252</v>
      </c>
      <c r="F1394" s="156">
        <v>2705968.96</v>
      </c>
      <c r="G1394" s="131">
        <f t="shared" si="115"/>
        <v>484909.63763199997</v>
      </c>
      <c r="H1394" s="156">
        <v>15980.98</v>
      </c>
      <c r="I1394" s="156">
        <v>40376.959999999999</v>
      </c>
      <c r="J1394" s="156">
        <v>0</v>
      </c>
      <c r="K1394" s="131">
        <f t="shared" si="116"/>
        <v>56357.94</v>
      </c>
      <c r="L1394" s="134">
        <v>0.1792</v>
      </c>
    </row>
    <row r="1395" spans="3:12">
      <c r="C1395" s="161">
        <f t="shared" si="114"/>
        <v>2018</v>
      </c>
      <c r="D1395" s="35" t="s">
        <v>281</v>
      </c>
      <c r="E1395" s="227">
        <v>43282</v>
      </c>
      <c r="F1395" s="156">
        <v>2610775</v>
      </c>
      <c r="G1395" s="131">
        <f t="shared" si="115"/>
        <v>467850.88</v>
      </c>
      <c r="H1395" s="156">
        <v>115256.21</v>
      </c>
      <c r="I1395" s="156">
        <v>18753</v>
      </c>
      <c r="J1395" s="156">
        <v>4850</v>
      </c>
      <c r="K1395" s="131">
        <f t="shared" si="116"/>
        <v>138859.21000000002</v>
      </c>
      <c r="L1395" s="134">
        <v>0.1792</v>
      </c>
    </row>
    <row r="1396" spans="3:12">
      <c r="C1396" s="161">
        <f t="shared" si="114"/>
        <v>2018</v>
      </c>
      <c r="D1396" s="35" t="s">
        <v>281</v>
      </c>
      <c r="E1396" s="227">
        <v>43313</v>
      </c>
      <c r="F1396" s="156">
        <v>2751111.61</v>
      </c>
      <c r="G1396" s="131">
        <f t="shared" si="115"/>
        <v>492999.20051199995</v>
      </c>
      <c r="H1396" s="156">
        <v>119081.86</v>
      </c>
      <c r="I1396" s="156">
        <v>288476.98</v>
      </c>
      <c r="J1396" s="156">
        <v>0</v>
      </c>
      <c r="K1396" s="131">
        <f t="shared" si="116"/>
        <v>407558.83999999997</v>
      </c>
      <c r="L1396" s="134">
        <v>0.1792</v>
      </c>
    </row>
    <row r="1397" spans="3:12">
      <c r="C1397" s="161">
        <f t="shared" si="114"/>
        <v>2018</v>
      </c>
      <c r="D1397" s="35" t="s">
        <v>281</v>
      </c>
      <c r="E1397" s="227">
        <v>43344</v>
      </c>
      <c r="F1397" s="156">
        <v>2927381.25</v>
      </c>
      <c r="G1397" s="131">
        <f t="shared" si="115"/>
        <v>524586.72</v>
      </c>
      <c r="H1397" s="156">
        <v>87303.8</v>
      </c>
      <c r="I1397" s="156">
        <v>253894</v>
      </c>
      <c r="J1397" s="156">
        <v>0</v>
      </c>
      <c r="K1397" s="131">
        <f t="shared" si="116"/>
        <v>341197.8</v>
      </c>
      <c r="L1397" s="134">
        <v>0.1792</v>
      </c>
    </row>
    <row r="1398" spans="3:12">
      <c r="C1398" s="161">
        <f t="shared" si="114"/>
        <v>2018</v>
      </c>
      <c r="D1398" s="35" t="s">
        <v>281</v>
      </c>
      <c r="E1398" s="227">
        <v>43374</v>
      </c>
      <c r="F1398" s="156">
        <v>3088708.1</v>
      </c>
      <c r="G1398" s="131">
        <f t="shared" si="115"/>
        <v>553496.49152000004</v>
      </c>
      <c r="H1398" s="156">
        <v>65632.95</v>
      </c>
      <c r="I1398" s="156">
        <v>363077.48</v>
      </c>
      <c r="J1398" s="156">
        <v>0</v>
      </c>
      <c r="K1398" s="131">
        <f t="shared" si="116"/>
        <v>428710.43</v>
      </c>
      <c r="L1398" s="134">
        <v>0.1792</v>
      </c>
    </row>
    <row r="1399" spans="3:12">
      <c r="C1399" s="161">
        <f t="shared" si="114"/>
        <v>2018</v>
      </c>
      <c r="D1399" s="35" t="s">
        <v>281</v>
      </c>
      <c r="E1399" s="227">
        <v>43405</v>
      </c>
      <c r="F1399" s="156">
        <v>3090949.5919499998</v>
      </c>
      <c r="G1399" s="131">
        <f t="shared" si="115"/>
        <v>553898.16687743994</v>
      </c>
      <c r="H1399" s="156">
        <v>187433.71</v>
      </c>
      <c r="I1399" s="156">
        <v>119272.01</v>
      </c>
      <c r="J1399" s="156">
        <v>216112.59</v>
      </c>
      <c r="K1399" s="131">
        <f t="shared" si="116"/>
        <v>522818.30999999994</v>
      </c>
      <c r="L1399" s="134">
        <v>0.1792</v>
      </c>
    </row>
    <row r="1400" spans="3:12">
      <c r="C1400" s="161">
        <f t="shared" si="114"/>
        <v>2018</v>
      </c>
      <c r="D1400" s="35" t="s">
        <v>281</v>
      </c>
      <c r="E1400" s="227">
        <v>43435</v>
      </c>
      <c r="F1400" s="156">
        <v>3054680.2</v>
      </c>
      <c r="G1400" s="131">
        <f t="shared" si="115"/>
        <v>547398.69183999998</v>
      </c>
      <c r="H1400" s="156">
        <v>408274.42</v>
      </c>
      <c r="I1400" s="156">
        <v>0</v>
      </c>
      <c r="J1400" s="156">
        <v>0</v>
      </c>
      <c r="K1400" s="131">
        <f t="shared" si="116"/>
        <v>408274.42</v>
      </c>
      <c r="L1400" s="134">
        <v>0.1792</v>
      </c>
    </row>
    <row r="1401" spans="3:12">
      <c r="C1401" s="161">
        <f t="shared" si="114"/>
        <v>2019</v>
      </c>
      <c r="D1401" s="35" t="s">
        <v>281</v>
      </c>
      <c r="E1401" s="227">
        <v>43466</v>
      </c>
      <c r="F1401" s="156">
        <v>3282095.73</v>
      </c>
      <c r="G1401" s="131">
        <f t="shared" si="115"/>
        <v>588151.55481600005</v>
      </c>
      <c r="H1401" s="156">
        <v>101257.69</v>
      </c>
      <c r="I1401" s="156">
        <v>0</v>
      </c>
      <c r="J1401" s="156">
        <v>0</v>
      </c>
      <c r="K1401" s="131">
        <f t="shared" si="116"/>
        <v>101257.69</v>
      </c>
      <c r="L1401" s="134">
        <v>0.1792</v>
      </c>
    </row>
    <row r="1402" spans="3:12">
      <c r="C1402" s="161">
        <f t="shared" si="114"/>
        <v>2019</v>
      </c>
      <c r="D1402" s="35" t="s">
        <v>281</v>
      </c>
      <c r="E1402" s="227">
        <v>43497</v>
      </c>
      <c r="F1402" s="156">
        <v>3257503.18</v>
      </c>
      <c r="G1402" s="131">
        <f t="shared" si="115"/>
        <v>583744.56985600002</v>
      </c>
      <c r="H1402" s="156">
        <v>33005.449999999997</v>
      </c>
      <c r="I1402" s="156">
        <v>0</v>
      </c>
      <c r="J1402" s="156">
        <v>0</v>
      </c>
      <c r="K1402" s="131">
        <f t="shared" si="116"/>
        <v>33005.449999999997</v>
      </c>
      <c r="L1402" s="134">
        <v>0.1792</v>
      </c>
    </row>
    <row r="1403" spans="3:12">
      <c r="C1403" s="161">
        <f t="shared" si="114"/>
        <v>2019</v>
      </c>
      <c r="D1403" s="35" t="s">
        <v>281</v>
      </c>
      <c r="E1403" s="227">
        <v>43525</v>
      </c>
      <c r="F1403" s="156">
        <v>2902957.98</v>
      </c>
      <c r="G1403" s="131">
        <f t="shared" si="115"/>
        <v>520210.07001600001</v>
      </c>
      <c r="H1403" s="156">
        <v>12613.05</v>
      </c>
      <c r="I1403" s="156">
        <v>96581.02</v>
      </c>
      <c r="J1403" s="156">
        <v>0</v>
      </c>
      <c r="K1403" s="131">
        <f t="shared" si="116"/>
        <v>109194.07</v>
      </c>
      <c r="L1403" s="134">
        <v>0.1792</v>
      </c>
    </row>
    <row r="1404" spans="3:12">
      <c r="C1404" s="161">
        <f t="shared" si="114"/>
        <v>2019</v>
      </c>
      <c r="D1404" s="35" t="s">
        <v>281</v>
      </c>
      <c r="E1404" s="227">
        <v>43556</v>
      </c>
      <c r="F1404" s="156">
        <v>3101536.42</v>
      </c>
      <c r="G1404" s="131">
        <f t="shared" si="115"/>
        <v>555795.32646399993</v>
      </c>
      <c r="H1404" s="156">
        <v>135811.57999999999</v>
      </c>
      <c r="I1404" s="156">
        <v>0</v>
      </c>
      <c r="J1404" s="156">
        <v>0</v>
      </c>
      <c r="K1404" s="131">
        <f t="shared" si="116"/>
        <v>135811.57999999999</v>
      </c>
      <c r="L1404" s="134">
        <v>0.1792</v>
      </c>
    </row>
    <row r="1405" spans="3:12">
      <c r="C1405" s="161">
        <f t="shared" si="114"/>
        <v>2019</v>
      </c>
      <c r="D1405" s="35" t="s">
        <v>281</v>
      </c>
      <c r="E1405" s="227">
        <v>43586</v>
      </c>
      <c r="F1405" s="156">
        <v>2963612.01</v>
      </c>
      <c r="G1405" s="131">
        <f t="shared" si="115"/>
        <v>531079.27219199995</v>
      </c>
      <c r="H1405" s="156">
        <v>380043.6</v>
      </c>
      <c r="I1405" s="156">
        <v>0</v>
      </c>
      <c r="J1405" s="156">
        <v>0</v>
      </c>
      <c r="K1405" s="131">
        <f t="shared" si="116"/>
        <v>380043.6</v>
      </c>
      <c r="L1405" s="134">
        <v>0.1792</v>
      </c>
    </row>
    <row r="1406" spans="3:12">
      <c r="C1406" s="161">
        <f t="shared" si="114"/>
        <v>2019</v>
      </c>
      <c r="D1406" s="35" t="s">
        <v>281</v>
      </c>
      <c r="E1406" s="227">
        <v>43617</v>
      </c>
      <c r="F1406" s="156">
        <v>2729049.52</v>
      </c>
      <c r="G1406" s="131">
        <f t="shared" si="115"/>
        <v>489045.67398399999</v>
      </c>
      <c r="H1406" s="156">
        <v>266533.48</v>
      </c>
      <c r="I1406" s="156">
        <v>0</v>
      </c>
      <c r="J1406" s="156">
        <v>0</v>
      </c>
      <c r="K1406" s="131">
        <f t="shared" si="116"/>
        <v>266533.48</v>
      </c>
      <c r="L1406" s="134">
        <v>0.1792</v>
      </c>
    </row>
    <row r="1407" spans="3:12">
      <c r="C1407" s="161">
        <f t="shared" si="114"/>
        <v>2019</v>
      </c>
      <c r="D1407" s="35" t="s">
        <v>281</v>
      </c>
      <c r="E1407" s="227">
        <v>43647</v>
      </c>
      <c r="F1407" s="156">
        <v>2611186.54</v>
      </c>
      <c r="G1407" s="131">
        <f t="shared" si="115"/>
        <v>467924.62796800002</v>
      </c>
      <c r="H1407" s="156">
        <v>615848.12</v>
      </c>
      <c r="I1407" s="156">
        <v>127052</v>
      </c>
      <c r="J1407" s="156">
        <v>27215.55</v>
      </c>
      <c r="K1407" s="131">
        <f t="shared" si="116"/>
        <v>770115.67</v>
      </c>
      <c r="L1407" s="134">
        <v>0.1792</v>
      </c>
    </row>
    <row r="1408" spans="3:12">
      <c r="C1408" s="161">
        <f t="shared" si="114"/>
        <v>2019</v>
      </c>
      <c r="D1408" s="35" t="s">
        <v>281</v>
      </c>
      <c r="E1408" s="227">
        <v>43678</v>
      </c>
      <c r="F1408" s="156">
        <v>2926210</v>
      </c>
      <c r="G1408" s="131">
        <f t="shared" si="115"/>
        <v>524376.83199999994</v>
      </c>
      <c r="H1408" s="156">
        <v>71365.039999999994</v>
      </c>
      <c r="I1408" s="156">
        <v>3757.93</v>
      </c>
      <c r="J1408" s="156">
        <v>1740</v>
      </c>
      <c r="K1408" s="131">
        <f t="shared" si="116"/>
        <v>76862.969999999987</v>
      </c>
      <c r="L1408" s="134">
        <v>0.1792</v>
      </c>
    </row>
    <row r="1409" spans="3:12">
      <c r="C1409" s="161">
        <f t="shared" si="114"/>
        <v>2019</v>
      </c>
      <c r="D1409" s="35" t="s">
        <v>281</v>
      </c>
      <c r="E1409" s="227">
        <v>43709</v>
      </c>
      <c r="F1409" s="156">
        <v>3186870.4</v>
      </c>
      <c r="G1409" s="131">
        <f t="shared" si="115"/>
        <v>571087.17567999999</v>
      </c>
      <c r="H1409" s="156">
        <v>404295.56</v>
      </c>
      <c r="I1409" s="156">
        <v>50689.42</v>
      </c>
      <c r="J1409" s="156">
        <v>8624</v>
      </c>
      <c r="K1409" s="131">
        <f t="shared" si="116"/>
        <v>463608.98</v>
      </c>
      <c r="L1409" s="134">
        <v>0.1792</v>
      </c>
    </row>
    <row r="1410" spans="3:12">
      <c r="C1410" s="161">
        <f t="shared" si="114"/>
        <v>2019</v>
      </c>
      <c r="D1410" s="35" t="s">
        <v>281</v>
      </c>
      <c r="E1410" s="227">
        <v>43739</v>
      </c>
      <c r="F1410" s="156">
        <v>2991783.67</v>
      </c>
      <c r="G1410" s="131">
        <f t="shared" si="115"/>
        <v>536127.63366399996</v>
      </c>
      <c r="H1410" s="156">
        <v>287910.58</v>
      </c>
      <c r="I1410" s="156">
        <v>888.45</v>
      </c>
      <c r="J1410" s="156">
        <v>380748.85</v>
      </c>
      <c r="K1410" s="131">
        <f t="shared" si="116"/>
        <v>669547.88</v>
      </c>
      <c r="L1410" s="134">
        <v>0.1792</v>
      </c>
    </row>
    <row r="1411" spans="3:12">
      <c r="C1411" s="161">
        <f t="shared" si="114"/>
        <v>2019</v>
      </c>
      <c r="D1411" s="35" t="s">
        <v>281</v>
      </c>
      <c r="E1411" s="227">
        <v>43770</v>
      </c>
      <c r="F1411" s="156">
        <v>3399703.38</v>
      </c>
      <c r="G1411" s="131">
        <f t="shared" si="115"/>
        <v>609226.84569599992</v>
      </c>
      <c r="H1411" s="156">
        <v>124769.74</v>
      </c>
      <c r="I1411" s="156">
        <v>20011.84</v>
      </c>
      <c r="J1411" s="156">
        <v>1861.9</v>
      </c>
      <c r="K1411" s="131">
        <f t="shared" si="116"/>
        <v>146643.48000000001</v>
      </c>
      <c r="L1411" s="134">
        <v>0.1792</v>
      </c>
    </row>
    <row r="1412" spans="3:12">
      <c r="C1412" s="161">
        <f t="shared" ref="C1412:C1475" si="117">YEAR(E1412)</f>
        <v>2019</v>
      </c>
      <c r="D1412" s="35" t="s">
        <v>281</v>
      </c>
      <c r="E1412" s="227">
        <v>43800</v>
      </c>
      <c r="F1412" s="156">
        <v>3039344.12</v>
      </c>
      <c r="G1412" s="131">
        <f t="shared" ref="G1412:G1475" si="118">F1412*L1412</f>
        <v>544650.466304</v>
      </c>
      <c r="H1412" s="156">
        <v>256172.94</v>
      </c>
      <c r="I1412" s="156">
        <v>38194.269999999997</v>
      </c>
      <c r="J1412" s="156">
        <v>0</v>
      </c>
      <c r="K1412" s="131">
        <f t="shared" ref="K1412:K1475" si="119">SUM(H1412:J1412)</f>
        <v>294367.21000000002</v>
      </c>
      <c r="L1412" s="134">
        <v>0.1792</v>
      </c>
    </row>
    <row r="1413" spans="3:12">
      <c r="C1413" s="161">
        <f t="shared" si="117"/>
        <v>2020</v>
      </c>
      <c r="D1413" s="35" t="s">
        <v>281</v>
      </c>
      <c r="E1413" s="227">
        <v>43831</v>
      </c>
      <c r="F1413" s="156">
        <v>3094435.3</v>
      </c>
      <c r="G1413" s="131">
        <f t="shared" si="118"/>
        <v>554522.80576000002</v>
      </c>
      <c r="H1413" s="156">
        <v>24215.3</v>
      </c>
      <c r="I1413" s="156">
        <v>-190440.99</v>
      </c>
      <c r="J1413" s="156">
        <v>359.13</v>
      </c>
      <c r="K1413" s="131">
        <f t="shared" si="119"/>
        <v>-165866.56</v>
      </c>
      <c r="L1413" s="134">
        <v>0.1792</v>
      </c>
    </row>
    <row r="1414" spans="3:12">
      <c r="C1414" s="161">
        <f t="shared" si="117"/>
        <v>2020</v>
      </c>
      <c r="D1414" s="35" t="s">
        <v>281</v>
      </c>
      <c r="E1414" s="227">
        <v>43862</v>
      </c>
      <c r="F1414" s="156">
        <v>3143082.41</v>
      </c>
      <c r="G1414" s="131">
        <f t="shared" si="118"/>
        <v>563240.36787199997</v>
      </c>
      <c r="H1414" s="156">
        <v>19545.73</v>
      </c>
      <c r="I1414" s="156">
        <v>33780.53</v>
      </c>
      <c r="J1414" s="156">
        <v>1995</v>
      </c>
      <c r="K1414" s="131">
        <f t="shared" si="119"/>
        <v>55321.259999999995</v>
      </c>
      <c r="L1414" s="134">
        <v>0.1792</v>
      </c>
    </row>
    <row r="1415" spans="3:12">
      <c r="C1415" s="161">
        <f t="shared" si="117"/>
        <v>2020</v>
      </c>
      <c r="D1415" s="35" t="s">
        <v>281</v>
      </c>
      <c r="E1415" s="227">
        <v>43891</v>
      </c>
      <c r="F1415" s="156">
        <v>2964949.7509499998</v>
      </c>
      <c r="G1415" s="131">
        <f t="shared" si="118"/>
        <v>531318.99537023995</v>
      </c>
      <c r="H1415" s="156">
        <v>40908.65</v>
      </c>
      <c r="I1415" s="156">
        <v>64971.05</v>
      </c>
      <c r="J1415" s="156">
        <v>0</v>
      </c>
      <c r="K1415" s="131">
        <f t="shared" si="119"/>
        <v>105879.70000000001</v>
      </c>
      <c r="L1415" s="134">
        <v>0.1792</v>
      </c>
    </row>
    <row r="1416" spans="3:12">
      <c r="C1416" s="161">
        <f t="shared" si="117"/>
        <v>2020</v>
      </c>
      <c r="D1416" s="35" t="s">
        <v>281</v>
      </c>
      <c r="E1416" s="227">
        <v>43922</v>
      </c>
      <c r="F1416" s="156">
        <v>2969968.289475</v>
      </c>
      <c r="G1416" s="131">
        <f t="shared" si="118"/>
        <v>532218.31747391995</v>
      </c>
      <c r="H1416" s="156">
        <v>179453.97</v>
      </c>
      <c r="I1416" s="156">
        <v>38548.61</v>
      </c>
      <c r="J1416" s="156">
        <v>0</v>
      </c>
      <c r="K1416" s="131">
        <f t="shared" si="119"/>
        <v>218002.58000000002</v>
      </c>
      <c r="L1416" s="134">
        <v>0.1792</v>
      </c>
    </row>
    <row r="1417" spans="3:12">
      <c r="C1417" s="161">
        <f t="shared" si="117"/>
        <v>2020</v>
      </c>
      <c r="D1417" s="35" t="s">
        <v>281</v>
      </c>
      <c r="E1417" s="227">
        <v>43952</v>
      </c>
      <c r="F1417" s="156">
        <v>2826756.69</v>
      </c>
      <c r="G1417" s="131">
        <f t="shared" si="118"/>
        <v>506554.79884800001</v>
      </c>
      <c r="H1417" s="156">
        <v>111194.17</v>
      </c>
      <c r="I1417" s="156">
        <v>29555.37</v>
      </c>
      <c r="J1417" s="156">
        <v>0</v>
      </c>
      <c r="K1417" s="131">
        <f t="shared" si="119"/>
        <v>140749.54</v>
      </c>
      <c r="L1417" s="134">
        <v>0.1792</v>
      </c>
    </row>
    <row r="1418" spans="3:12">
      <c r="C1418" s="161">
        <f t="shared" si="117"/>
        <v>2020</v>
      </c>
      <c r="D1418" s="35" t="s">
        <v>281</v>
      </c>
      <c r="E1418" s="227">
        <v>43983</v>
      </c>
      <c r="F1418" s="156">
        <v>2760659.39</v>
      </c>
      <c r="G1418" s="131">
        <f t="shared" si="118"/>
        <v>494710.16268800001</v>
      </c>
      <c r="H1418" s="156">
        <v>58535.49</v>
      </c>
      <c r="I1418" s="156">
        <v>21832.87</v>
      </c>
      <c r="J1418" s="156">
        <v>0</v>
      </c>
      <c r="K1418" s="131">
        <f t="shared" si="119"/>
        <v>80368.36</v>
      </c>
      <c r="L1418" s="134">
        <v>0.1792</v>
      </c>
    </row>
    <row r="1419" spans="3:12">
      <c r="C1419" s="161">
        <f t="shared" si="117"/>
        <v>2020</v>
      </c>
      <c r="D1419" s="35" t="s">
        <v>281</v>
      </c>
      <c r="E1419" s="227">
        <v>44013</v>
      </c>
      <c r="F1419" s="156">
        <v>2798313.86</v>
      </c>
      <c r="G1419" s="131">
        <f t="shared" si="118"/>
        <v>501457.84371199994</v>
      </c>
      <c r="H1419" s="156">
        <v>166698.23999999999</v>
      </c>
      <c r="I1419" s="156">
        <v>23543.48</v>
      </c>
      <c r="J1419" s="156">
        <v>0</v>
      </c>
      <c r="K1419" s="131">
        <f t="shared" si="119"/>
        <v>190241.72</v>
      </c>
      <c r="L1419" s="134">
        <v>0.1792</v>
      </c>
    </row>
    <row r="1420" spans="3:12">
      <c r="C1420" s="161">
        <f t="shared" si="117"/>
        <v>2020</v>
      </c>
      <c r="D1420" s="35" t="s">
        <v>281</v>
      </c>
      <c r="E1420" s="227">
        <v>44044</v>
      </c>
      <c r="F1420" s="156">
        <v>2951029.64</v>
      </c>
      <c r="G1420" s="131">
        <f t="shared" si="118"/>
        <v>528824.51148800005</v>
      </c>
      <c r="H1420" s="156">
        <v>104194.2</v>
      </c>
      <c r="I1420" s="156">
        <v>19398.61</v>
      </c>
      <c r="J1420" s="156">
        <v>0</v>
      </c>
      <c r="K1420" s="131">
        <f t="shared" si="119"/>
        <v>123592.81</v>
      </c>
      <c r="L1420" s="134">
        <v>0.1792</v>
      </c>
    </row>
    <row r="1421" spans="3:12">
      <c r="C1421" s="161">
        <f t="shared" si="117"/>
        <v>2020</v>
      </c>
      <c r="D1421" s="35" t="s">
        <v>281</v>
      </c>
      <c r="E1421" s="227">
        <v>44075</v>
      </c>
      <c r="F1421" s="156">
        <v>3078274.38</v>
      </c>
      <c r="G1421" s="131">
        <f t="shared" si="118"/>
        <v>551626.76889599999</v>
      </c>
      <c r="H1421" s="156">
        <v>40873.839999999997</v>
      </c>
      <c r="I1421" s="156">
        <v>20504.14</v>
      </c>
      <c r="J1421" s="156">
        <v>0</v>
      </c>
      <c r="K1421" s="131">
        <f t="shared" si="119"/>
        <v>61377.979999999996</v>
      </c>
      <c r="L1421" s="134">
        <v>0.1792</v>
      </c>
    </row>
    <row r="1422" spans="3:12">
      <c r="C1422" s="161">
        <f t="shared" si="117"/>
        <v>2020</v>
      </c>
      <c r="D1422" s="35" t="s">
        <v>281</v>
      </c>
      <c r="E1422" s="227">
        <v>44105</v>
      </c>
      <c r="F1422" s="156">
        <v>3289376.52</v>
      </c>
      <c r="G1422" s="131">
        <f t="shared" si="118"/>
        <v>589456.27238400001</v>
      </c>
      <c r="H1422" s="156">
        <v>141582.15</v>
      </c>
      <c r="I1422" s="156">
        <v>39937.85</v>
      </c>
      <c r="J1422" s="156">
        <v>35930</v>
      </c>
      <c r="K1422" s="131">
        <f t="shared" si="119"/>
        <v>217450</v>
      </c>
      <c r="L1422" s="134">
        <v>0.1792</v>
      </c>
    </row>
    <row r="1423" spans="3:12">
      <c r="C1423" s="161">
        <f t="shared" si="117"/>
        <v>2020</v>
      </c>
      <c r="D1423" s="35" t="s">
        <v>281</v>
      </c>
      <c r="E1423" s="227">
        <v>44136</v>
      </c>
      <c r="F1423" s="156">
        <v>3214485.37</v>
      </c>
      <c r="G1423" s="131">
        <f t="shared" si="118"/>
        <v>576035.77830400004</v>
      </c>
      <c r="H1423" s="156">
        <v>35587.25</v>
      </c>
      <c r="I1423" s="156">
        <v>24823.71</v>
      </c>
      <c r="J1423" s="156">
        <v>0</v>
      </c>
      <c r="K1423" s="131">
        <f t="shared" si="119"/>
        <v>60410.96</v>
      </c>
      <c r="L1423" s="134">
        <v>0.1792</v>
      </c>
    </row>
    <row r="1424" spans="3:12">
      <c r="C1424" s="161">
        <f t="shared" si="117"/>
        <v>2020</v>
      </c>
      <c r="D1424" s="35" t="s">
        <v>281</v>
      </c>
      <c r="E1424" s="227">
        <v>44166</v>
      </c>
      <c r="F1424" s="156">
        <v>3315770.73</v>
      </c>
      <c r="G1424" s="131">
        <f t="shared" si="118"/>
        <v>594186.11481599999</v>
      </c>
      <c r="H1424" s="156">
        <v>105860.18</v>
      </c>
      <c r="I1424" s="156">
        <v>17973.060000000001</v>
      </c>
      <c r="J1424" s="156">
        <v>0</v>
      </c>
      <c r="K1424" s="131">
        <f t="shared" si="119"/>
        <v>123833.23999999999</v>
      </c>
      <c r="L1424" s="134">
        <v>0.1792</v>
      </c>
    </row>
    <row r="1425" spans="3:12">
      <c r="C1425" s="161">
        <f t="shared" si="117"/>
        <v>2021</v>
      </c>
      <c r="D1425" s="35" t="s">
        <v>281</v>
      </c>
      <c r="E1425" s="227">
        <v>44197</v>
      </c>
      <c r="F1425" s="156">
        <v>3198234.64</v>
      </c>
      <c r="G1425" s="131">
        <f t="shared" si="118"/>
        <v>573123.64748799999</v>
      </c>
      <c r="H1425" s="156">
        <v>70941</v>
      </c>
      <c r="I1425" s="156">
        <v>13424.94</v>
      </c>
      <c r="J1425" s="156">
        <v>0</v>
      </c>
      <c r="K1425" s="131">
        <f t="shared" si="119"/>
        <v>84365.94</v>
      </c>
      <c r="L1425" s="134">
        <v>0.1792</v>
      </c>
    </row>
    <row r="1426" spans="3:12">
      <c r="C1426" s="161">
        <f t="shared" si="117"/>
        <v>2021</v>
      </c>
      <c r="D1426" s="35" t="s">
        <v>281</v>
      </c>
      <c r="E1426" s="227">
        <v>44229</v>
      </c>
      <c r="F1426" s="156">
        <v>3047567.63</v>
      </c>
      <c r="G1426" s="131">
        <f t="shared" si="118"/>
        <v>546124.11929599999</v>
      </c>
      <c r="H1426" s="156">
        <v>12051.02</v>
      </c>
      <c r="I1426" s="156">
        <v>13820.07</v>
      </c>
      <c r="J1426" s="156">
        <v>0</v>
      </c>
      <c r="K1426" s="131">
        <f t="shared" si="119"/>
        <v>25871.09</v>
      </c>
      <c r="L1426" s="134">
        <v>0.1792</v>
      </c>
    </row>
    <row r="1427" spans="3:12">
      <c r="C1427" s="161">
        <f t="shared" si="117"/>
        <v>2021</v>
      </c>
      <c r="D1427" s="35" t="s">
        <v>281</v>
      </c>
      <c r="E1427" s="227">
        <v>44258</v>
      </c>
      <c r="F1427" s="156">
        <v>2874951.16</v>
      </c>
      <c r="G1427" s="131">
        <f t="shared" si="118"/>
        <v>515191.24787200004</v>
      </c>
      <c r="H1427" s="156">
        <v>24949.57</v>
      </c>
      <c r="I1427" s="156">
        <v>254881.79</v>
      </c>
      <c r="J1427" s="156">
        <v>0</v>
      </c>
      <c r="K1427" s="131">
        <f t="shared" si="119"/>
        <v>279831.36</v>
      </c>
      <c r="L1427" s="134">
        <v>0.1792</v>
      </c>
    </row>
    <row r="1428" spans="3:12">
      <c r="C1428" s="161">
        <f t="shared" si="117"/>
        <v>2021</v>
      </c>
      <c r="D1428" s="35" t="s">
        <v>281</v>
      </c>
      <c r="E1428" s="227">
        <v>44290</v>
      </c>
      <c r="F1428" s="156">
        <v>3218984.66</v>
      </c>
      <c r="G1428" s="131">
        <f t="shared" si="118"/>
        <v>576842.05107200006</v>
      </c>
      <c r="H1428" s="156">
        <v>44385.2</v>
      </c>
      <c r="I1428" s="156">
        <v>18521.400000000001</v>
      </c>
      <c r="J1428" s="156">
        <v>32043.84</v>
      </c>
      <c r="K1428" s="131">
        <f t="shared" si="119"/>
        <v>94950.44</v>
      </c>
      <c r="L1428" s="134">
        <v>0.1792</v>
      </c>
    </row>
    <row r="1429" spans="3:12">
      <c r="C1429" s="161">
        <f t="shared" si="117"/>
        <v>2021</v>
      </c>
      <c r="D1429" s="35" t="s">
        <v>281</v>
      </c>
      <c r="E1429" s="227">
        <v>44321</v>
      </c>
      <c r="F1429" s="156">
        <v>2797805.28</v>
      </c>
      <c r="G1429" s="131">
        <f t="shared" si="118"/>
        <v>501366.70617599995</v>
      </c>
      <c r="H1429" s="156">
        <v>33354.06</v>
      </c>
      <c r="I1429" s="156">
        <v>49672.33</v>
      </c>
      <c r="J1429" s="156">
        <v>23247.279999999999</v>
      </c>
      <c r="K1429" s="131">
        <f t="shared" si="119"/>
        <v>106273.67</v>
      </c>
      <c r="L1429" s="134">
        <v>0.1792</v>
      </c>
    </row>
    <row r="1430" spans="3:12">
      <c r="C1430" s="161">
        <f t="shared" si="117"/>
        <v>2021</v>
      </c>
      <c r="D1430" s="35" t="s">
        <v>281</v>
      </c>
      <c r="E1430" s="227">
        <v>44353</v>
      </c>
      <c r="F1430" s="156">
        <v>2953276.36</v>
      </c>
      <c r="G1430" s="131">
        <f t="shared" si="118"/>
        <v>529227.12371199997</v>
      </c>
      <c r="H1430" s="156">
        <v>10334.950000000001</v>
      </c>
      <c r="I1430" s="156">
        <v>0</v>
      </c>
      <c r="J1430" s="156">
        <v>0</v>
      </c>
      <c r="K1430" s="131">
        <f t="shared" si="119"/>
        <v>10334.950000000001</v>
      </c>
      <c r="L1430" s="134">
        <v>0.1792</v>
      </c>
    </row>
    <row r="1431" spans="3:12">
      <c r="C1431" s="161">
        <f t="shared" si="117"/>
        <v>2015</v>
      </c>
      <c r="D1431" s="35" t="s">
        <v>282</v>
      </c>
      <c r="E1431" s="227">
        <v>42309</v>
      </c>
      <c r="F1431" s="156">
        <v>792078.2</v>
      </c>
      <c r="G1431" s="131">
        <f t="shared" si="118"/>
        <v>141940.41344</v>
      </c>
      <c r="H1431" s="156">
        <v>143245.34</v>
      </c>
      <c r="I1431" s="156">
        <v>577065.99</v>
      </c>
      <c r="J1431" s="156">
        <v>0</v>
      </c>
      <c r="K1431" s="131">
        <f t="shared" si="119"/>
        <v>720311.33</v>
      </c>
      <c r="L1431" s="134">
        <v>0.1792</v>
      </c>
    </row>
    <row r="1432" spans="3:12">
      <c r="C1432" s="161">
        <f t="shared" si="117"/>
        <v>2015</v>
      </c>
      <c r="D1432" s="35" t="s">
        <v>282</v>
      </c>
      <c r="E1432" s="227">
        <v>42339</v>
      </c>
      <c r="F1432" s="156">
        <v>713223.36</v>
      </c>
      <c r="G1432" s="131">
        <f t="shared" si="118"/>
        <v>127809.626112</v>
      </c>
      <c r="H1432" s="156">
        <v>158861.88</v>
      </c>
      <c r="I1432" s="156">
        <v>173299.47</v>
      </c>
      <c r="J1432" s="156">
        <v>0</v>
      </c>
      <c r="K1432" s="131">
        <f t="shared" si="119"/>
        <v>332161.34999999998</v>
      </c>
      <c r="L1432" s="134">
        <v>0.1792</v>
      </c>
    </row>
    <row r="1433" spans="3:12">
      <c r="C1433" s="161">
        <f t="shared" si="117"/>
        <v>2016</v>
      </c>
      <c r="D1433" s="35" t="s">
        <v>282</v>
      </c>
      <c r="E1433" s="227">
        <v>42370</v>
      </c>
      <c r="F1433" s="156">
        <v>758561.07</v>
      </c>
      <c r="G1433" s="131">
        <f t="shared" si="118"/>
        <v>135934.143744</v>
      </c>
      <c r="H1433" s="156">
        <v>95943.38</v>
      </c>
      <c r="I1433" s="156">
        <v>9507.42</v>
      </c>
      <c r="J1433" s="156">
        <v>0</v>
      </c>
      <c r="K1433" s="131">
        <f t="shared" si="119"/>
        <v>105450.8</v>
      </c>
      <c r="L1433" s="134">
        <v>0.1792</v>
      </c>
    </row>
    <row r="1434" spans="3:12">
      <c r="C1434" s="161">
        <f t="shared" si="117"/>
        <v>2016</v>
      </c>
      <c r="D1434" s="35" t="s">
        <v>282</v>
      </c>
      <c r="E1434" s="227">
        <v>42401</v>
      </c>
      <c r="F1434" s="156">
        <v>750404.31</v>
      </c>
      <c r="G1434" s="131">
        <f t="shared" si="118"/>
        <v>134472.45235200002</v>
      </c>
      <c r="H1434" s="156">
        <v>122480.41</v>
      </c>
      <c r="I1434" s="156">
        <v>0</v>
      </c>
      <c r="J1434" s="156">
        <v>1868.78</v>
      </c>
      <c r="K1434" s="131">
        <f t="shared" si="119"/>
        <v>124349.19</v>
      </c>
      <c r="L1434" s="134">
        <v>0.1792</v>
      </c>
    </row>
    <row r="1435" spans="3:12">
      <c r="C1435" s="161">
        <f t="shared" si="117"/>
        <v>2016</v>
      </c>
      <c r="D1435" s="35" t="s">
        <v>282</v>
      </c>
      <c r="E1435" s="227">
        <v>42430</v>
      </c>
      <c r="F1435" s="156">
        <v>711346.87</v>
      </c>
      <c r="G1435" s="131">
        <f t="shared" si="118"/>
        <v>127473.359104</v>
      </c>
      <c r="H1435" s="156">
        <v>209535.16</v>
      </c>
      <c r="I1435" s="156">
        <v>3410.28</v>
      </c>
      <c r="J1435" s="156">
        <v>0</v>
      </c>
      <c r="K1435" s="131">
        <f t="shared" si="119"/>
        <v>212945.44</v>
      </c>
      <c r="L1435" s="134">
        <v>0.1792</v>
      </c>
    </row>
    <row r="1436" spans="3:12">
      <c r="C1436" s="161">
        <f t="shared" si="117"/>
        <v>2016</v>
      </c>
      <c r="D1436" s="35" t="s">
        <v>282</v>
      </c>
      <c r="E1436" s="227">
        <v>42461</v>
      </c>
      <c r="F1436" s="156">
        <v>776371.84</v>
      </c>
      <c r="G1436" s="131">
        <f t="shared" si="118"/>
        <v>139125.833728</v>
      </c>
      <c r="H1436" s="156">
        <v>715011.68</v>
      </c>
      <c r="I1436" s="156">
        <v>465455.25</v>
      </c>
      <c r="J1436" s="156">
        <v>0</v>
      </c>
      <c r="K1436" s="131">
        <f t="shared" si="119"/>
        <v>1180466.9300000002</v>
      </c>
      <c r="L1436" s="134">
        <v>0.1792</v>
      </c>
    </row>
    <row r="1437" spans="3:12">
      <c r="C1437" s="161">
        <f t="shared" si="117"/>
        <v>2016</v>
      </c>
      <c r="D1437" s="35" t="s">
        <v>282</v>
      </c>
      <c r="E1437" s="227">
        <v>42491</v>
      </c>
      <c r="F1437" s="156">
        <v>709934.57</v>
      </c>
      <c r="G1437" s="131">
        <f t="shared" si="118"/>
        <v>127220.27494399999</v>
      </c>
      <c r="H1437" s="156">
        <v>312343.98</v>
      </c>
      <c r="I1437" s="156">
        <v>14441.59</v>
      </c>
      <c r="J1437" s="156">
        <v>269</v>
      </c>
      <c r="K1437" s="131">
        <f t="shared" si="119"/>
        <v>327054.57</v>
      </c>
      <c r="L1437" s="134">
        <v>0.1792</v>
      </c>
    </row>
    <row r="1438" spans="3:12">
      <c r="C1438" s="161">
        <f t="shared" si="117"/>
        <v>2016</v>
      </c>
      <c r="D1438" s="35" t="s">
        <v>282</v>
      </c>
      <c r="E1438" s="227">
        <v>42522</v>
      </c>
      <c r="F1438" s="156">
        <v>717317.07</v>
      </c>
      <c r="G1438" s="131">
        <f t="shared" si="118"/>
        <v>128543.21894399999</v>
      </c>
      <c r="H1438" s="156">
        <v>243294.01</v>
      </c>
      <c r="I1438" s="156">
        <v>201653.39</v>
      </c>
      <c r="J1438" s="156">
        <v>54008.94</v>
      </c>
      <c r="K1438" s="131">
        <f t="shared" si="119"/>
        <v>498956.34</v>
      </c>
      <c r="L1438" s="134">
        <v>0.1792</v>
      </c>
    </row>
    <row r="1439" spans="3:12">
      <c r="C1439" s="161">
        <f t="shared" si="117"/>
        <v>2016</v>
      </c>
      <c r="D1439" s="35" t="s">
        <v>282</v>
      </c>
      <c r="E1439" s="227">
        <v>42552</v>
      </c>
      <c r="F1439" s="156">
        <v>820898.57</v>
      </c>
      <c r="G1439" s="131">
        <f t="shared" si="118"/>
        <v>147105.02374399998</v>
      </c>
      <c r="H1439" s="156">
        <v>163306.35</v>
      </c>
      <c r="I1439" s="156">
        <v>130091.21</v>
      </c>
      <c r="J1439" s="156">
        <v>0</v>
      </c>
      <c r="K1439" s="131">
        <f t="shared" si="119"/>
        <v>293397.56</v>
      </c>
      <c r="L1439" s="134">
        <v>0.1792</v>
      </c>
    </row>
    <row r="1440" spans="3:12">
      <c r="C1440" s="161">
        <f t="shared" si="117"/>
        <v>2016</v>
      </c>
      <c r="D1440" s="35" t="s">
        <v>282</v>
      </c>
      <c r="E1440" s="227">
        <v>42583</v>
      </c>
      <c r="F1440" s="156">
        <v>874999.64</v>
      </c>
      <c r="G1440" s="131">
        <f t="shared" si="118"/>
        <v>156799.93548799999</v>
      </c>
      <c r="H1440" s="156">
        <v>379951.23</v>
      </c>
      <c r="I1440" s="156">
        <v>173183.32</v>
      </c>
      <c r="J1440" s="156">
        <v>7085</v>
      </c>
      <c r="K1440" s="131">
        <f t="shared" si="119"/>
        <v>560219.55000000005</v>
      </c>
      <c r="L1440" s="134">
        <v>0.1792</v>
      </c>
    </row>
    <row r="1441" spans="3:12">
      <c r="C1441" s="161">
        <f t="shared" si="117"/>
        <v>2016</v>
      </c>
      <c r="D1441" s="35" t="s">
        <v>282</v>
      </c>
      <c r="E1441" s="227">
        <v>42614</v>
      </c>
      <c r="F1441" s="156">
        <v>802691.74</v>
      </c>
      <c r="G1441" s="131">
        <f t="shared" si="118"/>
        <v>143842.35980800001</v>
      </c>
      <c r="H1441" s="156">
        <v>167226.93</v>
      </c>
      <c r="I1441" s="156">
        <v>294326.26</v>
      </c>
      <c r="J1441" s="156">
        <v>0</v>
      </c>
      <c r="K1441" s="131">
        <f t="shared" si="119"/>
        <v>461553.19</v>
      </c>
      <c r="L1441" s="134">
        <v>0.1792</v>
      </c>
    </row>
    <row r="1442" spans="3:12">
      <c r="C1442" s="161">
        <f t="shared" si="117"/>
        <v>2016</v>
      </c>
      <c r="D1442" s="35" t="s">
        <v>282</v>
      </c>
      <c r="E1442" s="227">
        <v>42644</v>
      </c>
      <c r="F1442" s="156">
        <v>860438.21</v>
      </c>
      <c r="G1442" s="131">
        <f t="shared" si="118"/>
        <v>154190.52723199999</v>
      </c>
      <c r="H1442" s="156">
        <v>219989.03</v>
      </c>
      <c r="I1442" s="156">
        <v>191894.02</v>
      </c>
      <c r="J1442" s="156">
        <v>0</v>
      </c>
      <c r="K1442" s="131">
        <f t="shared" si="119"/>
        <v>411883.05</v>
      </c>
      <c r="L1442" s="134">
        <v>0.1792</v>
      </c>
    </row>
    <row r="1443" spans="3:12">
      <c r="C1443" s="161">
        <f t="shared" si="117"/>
        <v>2016</v>
      </c>
      <c r="D1443" s="35" t="s">
        <v>282</v>
      </c>
      <c r="E1443" s="227">
        <v>42675</v>
      </c>
      <c r="F1443" s="156">
        <v>834131.32</v>
      </c>
      <c r="G1443" s="131">
        <f t="shared" si="118"/>
        <v>149476.33254399998</v>
      </c>
      <c r="H1443" s="156">
        <v>49441.86</v>
      </c>
      <c r="I1443" s="156">
        <v>160102.39999999999</v>
      </c>
      <c r="J1443" s="156">
        <v>3802.32</v>
      </c>
      <c r="K1443" s="131">
        <f t="shared" si="119"/>
        <v>213346.58000000002</v>
      </c>
      <c r="L1443" s="134">
        <v>0.1792</v>
      </c>
    </row>
    <row r="1444" spans="3:12">
      <c r="C1444" s="161">
        <f t="shared" si="117"/>
        <v>2016</v>
      </c>
      <c r="D1444" s="35" t="s">
        <v>282</v>
      </c>
      <c r="E1444" s="227">
        <v>42705</v>
      </c>
      <c r="F1444" s="156">
        <v>803720.22</v>
      </c>
      <c r="G1444" s="131">
        <f t="shared" si="118"/>
        <v>144026.663424</v>
      </c>
      <c r="H1444" s="156">
        <v>604307.97</v>
      </c>
      <c r="I1444" s="156">
        <v>202118.07</v>
      </c>
      <c r="J1444" s="156">
        <v>52389.49</v>
      </c>
      <c r="K1444" s="131">
        <f t="shared" si="119"/>
        <v>858815.53</v>
      </c>
      <c r="L1444" s="134">
        <v>0.1792</v>
      </c>
    </row>
    <row r="1445" spans="3:12">
      <c r="C1445" s="161">
        <f t="shared" si="117"/>
        <v>2017</v>
      </c>
      <c r="D1445" s="35" t="s">
        <v>282</v>
      </c>
      <c r="E1445" s="227">
        <v>42736</v>
      </c>
      <c r="F1445" s="156">
        <v>848168.92</v>
      </c>
      <c r="G1445" s="131">
        <f t="shared" si="118"/>
        <v>151991.87046400001</v>
      </c>
      <c r="H1445" s="156">
        <v>116915.01</v>
      </c>
      <c r="I1445" s="156">
        <v>107304.65</v>
      </c>
      <c r="J1445" s="156">
        <v>4627.47</v>
      </c>
      <c r="K1445" s="131">
        <f t="shared" si="119"/>
        <v>228847.12999999998</v>
      </c>
      <c r="L1445" s="134">
        <v>0.1792</v>
      </c>
    </row>
    <row r="1446" spans="3:12">
      <c r="C1446" s="161">
        <f t="shared" si="117"/>
        <v>2017</v>
      </c>
      <c r="D1446" s="35" t="s">
        <v>282</v>
      </c>
      <c r="E1446" s="227">
        <v>42767</v>
      </c>
      <c r="F1446" s="156">
        <v>805148.08</v>
      </c>
      <c r="G1446" s="131">
        <f t="shared" si="118"/>
        <v>144282.535936</v>
      </c>
      <c r="H1446" s="156">
        <v>51496.34</v>
      </c>
      <c r="I1446" s="156">
        <v>77764.19</v>
      </c>
      <c r="J1446" s="156">
        <v>3814.85</v>
      </c>
      <c r="K1446" s="131">
        <f t="shared" si="119"/>
        <v>133075.38</v>
      </c>
      <c r="L1446" s="134">
        <v>0.1792</v>
      </c>
    </row>
    <row r="1447" spans="3:12">
      <c r="C1447" s="161">
        <f t="shared" si="117"/>
        <v>2017</v>
      </c>
      <c r="D1447" s="35" t="s">
        <v>282</v>
      </c>
      <c r="E1447" s="227">
        <v>42795</v>
      </c>
      <c r="F1447" s="156">
        <v>744532.77</v>
      </c>
      <c r="G1447" s="131">
        <f t="shared" si="118"/>
        <v>133420.27238400001</v>
      </c>
      <c r="H1447" s="156">
        <v>225906.33</v>
      </c>
      <c r="I1447" s="156">
        <v>55904.58</v>
      </c>
      <c r="J1447" s="156">
        <v>1503.26</v>
      </c>
      <c r="K1447" s="131">
        <f t="shared" si="119"/>
        <v>283314.17</v>
      </c>
      <c r="L1447" s="134">
        <v>0.1792</v>
      </c>
    </row>
    <row r="1448" spans="3:12">
      <c r="C1448" s="161">
        <f t="shared" si="117"/>
        <v>2017</v>
      </c>
      <c r="D1448" s="35" t="s">
        <v>282</v>
      </c>
      <c r="E1448" s="227">
        <v>42826</v>
      </c>
      <c r="F1448" s="156">
        <v>813401.25</v>
      </c>
      <c r="G1448" s="131">
        <f t="shared" si="118"/>
        <v>145761.50399999999</v>
      </c>
      <c r="H1448" s="156">
        <v>6982.11</v>
      </c>
      <c r="I1448" s="156">
        <v>0</v>
      </c>
      <c r="J1448" s="156">
        <v>0</v>
      </c>
      <c r="K1448" s="131">
        <f t="shared" si="119"/>
        <v>6982.11</v>
      </c>
      <c r="L1448" s="134">
        <v>0.1792</v>
      </c>
    </row>
    <row r="1449" spans="3:12">
      <c r="C1449" s="161">
        <f t="shared" si="117"/>
        <v>2017</v>
      </c>
      <c r="D1449" s="35" t="s">
        <v>282</v>
      </c>
      <c r="E1449" s="227">
        <v>42856</v>
      </c>
      <c r="F1449" s="156">
        <v>804188.34</v>
      </c>
      <c r="G1449" s="131">
        <f t="shared" si="118"/>
        <v>144110.55052799999</v>
      </c>
      <c r="H1449" s="156">
        <v>128984.98</v>
      </c>
      <c r="I1449" s="156">
        <v>54686.94</v>
      </c>
      <c r="J1449" s="156">
        <v>943.74</v>
      </c>
      <c r="K1449" s="131">
        <f t="shared" si="119"/>
        <v>184615.65999999997</v>
      </c>
      <c r="L1449" s="134">
        <v>0.1792</v>
      </c>
    </row>
    <row r="1450" spans="3:12">
      <c r="C1450" s="161">
        <f t="shared" si="117"/>
        <v>2017</v>
      </c>
      <c r="D1450" s="35" t="s">
        <v>282</v>
      </c>
      <c r="E1450" s="227">
        <v>42887</v>
      </c>
      <c r="F1450" s="156">
        <v>843989.67</v>
      </c>
      <c r="G1450" s="131">
        <f t="shared" si="118"/>
        <v>151242.94886400001</v>
      </c>
      <c r="H1450" s="156">
        <v>5643.63</v>
      </c>
      <c r="I1450" s="156">
        <v>5496.89</v>
      </c>
      <c r="J1450" s="156">
        <v>417.66</v>
      </c>
      <c r="K1450" s="131">
        <f t="shared" si="119"/>
        <v>11558.18</v>
      </c>
      <c r="L1450" s="134">
        <v>0.1792</v>
      </c>
    </row>
    <row r="1451" spans="3:12">
      <c r="C1451" s="161">
        <f t="shared" si="117"/>
        <v>2017</v>
      </c>
      <c r="D1451" s="35" t="s">
        <v>282</v>
      </c>
      <c r="E1451" s="227">
        <v>42917</v>
      </c>
      <c r="F1451" s="156">
        <v>838951.07</v>
      </c>
      <c r="G1451" s="131">
        <f t="shared" si="118"/>
        <v>150340.03174399998</v>
      </c>
      <c r="H1451" s="156">
        <v>403978.31</v>
      </c>
      <c r="I1451" s="156">
        <v>78228.5</v>
      </c>
      <c r="J1451" s="156">
        <v>176000</v>
      </c>
      <c r="K1451" s="131">
        <f t="shared" si="119"/>
        <v>658206.81000000006</v>
      </c>
      <c r="L1451" s="134">
        <v>0.1792</v>
      </c>
    </row>
    <row r="1452" spans="3:12">
      <c r="C1452" s="161">
        <f t="shared" si="117"/>
        <v>2017</v>
      </c>
      <c r="D1452" s="35" t="s">
        <v>282</v>
      </c>
      <c r="E1452" s="227">
        <v>42948</v>
      </c>
      <c r="F1452" s="156">
        <v>893059.8</v>
      </c>
      <c r="G1452" s="131">
        <f t="shared" si="118"/>
        <v>160036.31616000002</v>
      </c>
      <c r="H1452" s="156">
        <v>4833.3</v>
      </c>
      <c r="I1452" s="156">
        <v>157535.29999999999</v>
      </c>
      <c r="J1452" s="156">
        <v>0</v>
      </c>
      <c r="K1452" s="131">
        <f t="shared" si="119"/>
        <v>162368.59999999998</v>
      </c>
      <c r="L1452" s="134">
        <v>0.1792</v>
      </c>
    </row>
    <row r="1453" spans="3:12">
      <c r="C1453" s="161">
        <f t="shared" si="117"/>
        <v>2017</v>
      </c>
      <c r="D1453" s="35" t="s">
        <v>282</v>
      </c>
      <c r="E1453" s="227">
        <v>42979</v>
      </c>
      <c r="F1453" s="156">
        <v>954666.66</v>
      </c>
      <c r="G1453" s="131">
        <f t="shared" si="118"/>
        <v>171076.265472</v>
      </c>
      <c r="H1453" s="156">
        <v>190728.83</v>
      </c>
      <c r="I1453" s="156">
        <v>0</v>
      </c>
      <c r="J1453" s="156">
        <v>119089.35</v>
      </c>
      <c r="K1453" s="131">
        <f t="shared" si="119"/>
        <v>309818.18</v>
      </c>
      <c r="L1453" s="134">
        <v>0.1792</v>
      </c>
    </row>
    <row r="1454" spans="3:12">
      <c r="C1454" s="161">
        <f t="shared" si="117"/>
        <v>2017</v>
      </c>
      <c r="D1454" s="35" t="s">
        <v>282</v>
      </c>
      <c r="E1454" s="227">
        <v>43009</v>
      </c>
      <c r="F1454" s="156">
        <v>922240.06</v>
      </c>
      <c r="G1454" s="131">
        <f t="shared" si="118"/>
        <v>165265.418752</v>
      </c>
      <c r="H1454" s="156">
        <v>7878.5</v>
      </c>
      <c r="I1454" s="156">
        <v>0</v>
      </c>
      <c r="J1454" s="156">
        <v>0</v>
      </c>
      <c r="K1454" s="131">
        <f t="shared" si="119"/>
        <v>7878.5</v>
      </c>
      <c r="L1454" s="134">
        <v>0.1792</v>
      </c>
    </row>
    <row r="1455" spans="3:12">
      <c r="C1455" s="161">
        <f t="shared" si="117"/>
        <v>2017</v>
      </c>
      <c r="D1455" s="35" t="s">
        <v>282</v>
      </c>
      <c r="E1455" s="227">
        <v>43040</v>
      </c>
      <c r="F1455" s="156">
        <v>903504.51</v>
      </c>
      <c r="G1455" s="131">
        <f t="shared" si="118"/>
        <v>161908.00819200001</v>
      </c>
      <c r="H1455" s="156">
        <v>5062.9399999999996</v>
      </c>
      <c r="I1455" s="156">
        <v>22508.86</v>
      </c>
      <c r="J1455" s="156">
        <v>678.3</v>
      </c>
      <c r="K1455" s="131">
        <f t="shared" si="119"/>
        <v>28250.1</v>
      </c>
      <c r="L1455" s="134">
        <v>0.1792</v>
      </c>
    </row>
    <row r="1456" spans="3:12">
      <c r="C1456" s="161">
        <f t="shared" si="117"/>
        <v>2017</v>
      </c>
      <c r="D1456" s="35" t="s">
        <v>282</v>
      </c>
      <c r="E1456" s="227">
        <v>43070</v>
      </c>
      <c r="F1456" s="156">
        <v>853081.43</v>
      </c>
      <c r="G1456" s="131">
        <f t="shared" si="118"/>
        <v>152872.19225600001</v>
      </c>
      <c r="H1456" s="156">
        <v>4187.5600000000004</v>
      </c>
      <c r="I1456" s="156">
        <v>2320.6999999999998</v>
      </c>
      <c r="J1456" s="156">
        <v>4157.55</v>
      </c>
      <c r="K1456" s="131">
        <f t="shared" si="119"/>
        <v>10665.810000000001</v>
      </c>
      <c r="L1456" s="134">
        <v>0.1792</v>
      </c>
    </row>
    <row r="1457" spans="3:12">
      <c r="C1457" s="161">
        <f t="shared" si="117"/>
        <v>2018</v>
      </c>
      <c r="D1457" s="35" t="s">
        <v>282</v>
      </c>
      <c r="E1457" s="227">
        <v>43101</v>
      </c>
      <c r="F1457" s="156">
        <v>905971.99</v>
      </c>
      <c r="G1457" s="131">
        <f t="shared" si="118"/>
        <v>162350.180608</v>
      </c>
      <c r="H1457" s="156">
        <v>4370.67</v>
      </c>
      <c r="I1457" s="156">
        <v>0</v>
      </c>
      <c r="J1457" s="156">
        <v>0</v>
      </c>
      <c r="K1457" s="131">
        <f t="shared" si="119"/>
        <v>4370.67</v>
      </c>
      <c r="L1457" s="134">
        <v>0.1792</v>
      </c>
    </row>
    <row r="1458" spans="3:12">
      <c r="C1458" s="161">
        <f t="shared" si="117"/>
        <v>2018</v>
      </c>
      <c r="D1458" s="35" t="s">
        <v>282</v>
      </c>
      <c r="E1458" s="227">
        <v>43132</v>
      </c>
      <c r="F1458" s="156">
        <v>879078.07</v>
      </c>
      <c r="G1458" s="131">
        <f t="shared" si="118"/>
        <v>157530.790144</v>
      </c>
      <c r="H1458" s="156">
        <v>4776.05</v>
      </c>
      <c r="I1458" s="156">
        <v>1861.67</v>
      </c>
      <c r="J1458" s="156">
        <v>393.11</v>
      </c>
      <c r="K1458" s="131">
        <f t="shared" si="119"/>
        <v>7030.83</v>
      </c>
      <c r="L1458" s="134">
        <v>0.1792</v>
      </c>
    </row>
    <row r="1459" spans="3:12">
      <c r="C1459" s="161">
        <f t="shared" si="117"/>
        <v>2018</v>
      </c>
      <c r="D1459" s="35" t="s">
        <v>282</v>
      </c>
      <c r="E1459" s="227">
        <v>43160</v>
      </c>
      <c r="F1459" s="156">
        <v>802128.91</v>
      </c>
      <c r="G1459" s="131">
        <f t="shared" si="118"/>
        <v>143741.50067199999</v>
      </c>
      <c r="H1459" s="156">
        <v>4199.24</v>
      </c>
      <c r="I1459" s="156">
        <v>4565.6899999999996</v>
      </c>
      <c r="J1459" s="156">
        <v>0</v>
      </c>
      <c r="K1459" s="131">
        <f t="shared" si="119"/>
        <v>8764.93</v>
      </c>
      <c r="L1459" s="134">
        <v>0.1792</v>
      </c>
    </row>
    <row r="1460" spans="3:12">
      <c r="C1460" s="161">
        <f t="shared" si="117"/>
        <v>2018</v>
      </c>
      <c r="D1460" s="35" t="s">
        <v>282</v>
      </c>
      <c r="E1460" s="227">
        <v>43191</v>
      </c>
      <c r="F1460" s="156">
        <v>893329.95</v>
      </c>
      <c r="G1460" s="131">
        <f t="shared" si="118"/>
        <v>160084.72704</v>
      </c>
      <c r="H1460" s="156">
        <v>32141.200000000001</v>
      </c>
      <c r="I1460" s="156">
        <v>2093.9699999999998</v>
      </c>
      <c r="J1460" s="156">
        <v>0</v>
      </c>
      <c r="K1460" s="131">
        <f t="shared" si="119"/>
        <v>34235.17</v>
      </c>
      <c r="L1460" s="134">
        <v>0.1792</v>
      </c>
    </row>
    <row r="1461" spans="3:12">
      <c r="C1461" s="161">
        <f t="shared" si="117"/>
        <v>2018</v>
      </c>
      <c r="D1461" s="35" t="s">
        <v>282</v>
      </c>
      <c r="E1461" s="227">
        <v>43221</v>
      </c>
      <c r="F1461" s="156">
        <v>872289.09</v>
      </c>
      <c r="G1461" s="131">
        <f t="shared" si="118"/>
        <v>156314.20492799999</v>
      </c>
      <c r="H1461" s="156">
        <v>4455.4799999999996</v>
      </c>
      <c r="I1461" s="156">
        <v>2715.69</v>
      </c>
      <c r="J1461" s="156">
        <v>0</v>
      </c>
      <c r="K1461" s="131">
        <f t="shared" si="119"/>
        <v>7171.17</v>
      </c>
      <c r="L1461" s="134">
        <v>0.1792</v>
      </c>
    </row>
    <row r="1462" spans="3:12">
      <c r="C1462" s="161">
        <f t="shared" si="117"/>
        <v>2018</v>
      </c>
      <c r="D1462" s="35" t="s">
        <v>282</v>
      </c>
      <c r="E1462" s="227">
        <v>43252</v>
      </c>
      <c r="F1462" s="156">
        <v>887471.75</v>
      </c>
      <c r="G1462" s="131">
        <f t="shared" si="118"/>
        <v>159034.9376</v>
      </c>
      <c r="H1462" s="156">
        <v>13771.97</v>
      </c>
      <c r="I1462" s="156">
        <v>2136.3200000000002</v>
      </c>
      <c r="J1462" s="156">
        <v>0</v>
      </c>
      <c r="K1462" s="131">
        <f t="shared" si="119"/>
        <v>15908.289999999999</v>
      </c>
      <c r="L1462" s="134">
        <v>0.1792</v>
      </c>
    </row>
    <row r="1463" spans="3:12">
      <c r="C1463" s="161">
        <f t="shared" si="117"/>
        <v>2018</v>
      </c>
      <c r="D1463" s="35" t="s">
        <v>282</v>
      </c>
      <c r="E1463" s="227">
        <v>43282</v>
      </c>
      <c r="F1463" s="156">
        <v>921069.35</v>
      </c>
      <c r="G1463" s="131">
        <f t="shared" si="118"/>
        <v>165055.62751999998</v>
      </c>
      <c r="H1463" s="156">
        <v>10259.58</v>
      </c>
      <c r="I1463" s="156">
        <v>3960.9</v>
      </c>
      <c r="J1463" s="156">
        <v>412.5</v>
      </c>
      <c r="K1463" s="131">
        <f t="shared" si="119"/>
        <v>14632.98</v>
      </c>
      <c r="L1463" s="134">
        <v>0.1792</v>
      </c>
    </row>
    <row r="1464" spans="3:12">
      <c r="C1464" s="161">
        <f t="shared" si="117"/>
        <v>2018</v>
      </c>
      <c r="D1464" s="35" t="s">
        <v>282</v>
      </c>
      <c r="E1464" s="227">
        <v>43313</v>
      </c>
      <c r="F1464" s="156">
        <v>925788.81</v>
      </c>
      <c r="G1464" s="131">
        <f t="shared" si="118"/>
        <v>165901.35475200001</v>
      </c>
      <c r="H1464" s="156">
        <v>23762.02</v>
      </c>
      <c r="I1464" s="156">
        <v>4877.57</v>
      </c>
      <c r="J1464" s="156">
        <v>0</v>
      </c>
      <c r="K1464" s="131">
        <f t="shared" si="119"/>
        <v>28639.59</v>
      </c>
      <c r="L1464" s="134">
        <v>0.1792</v>
      </c>
    </row>
    <row r="1465" spans="3:12">
      <c r="C1465" s="161">
        <f t="shared" si="117"/>
        <v>2018</v>
      </c>
      <c r="D1465" s="35" t="s">
        <v>282</v>
      </c>
      <c r="E1465" s="227">
        <v>43344</v>
      </c>
      <c r="F1465" s="156">
        <v>999872.59</v>
      </c>
      <c r="G1465" s="131">
        <f t="shared" si="118"/>
        <v>179177.16812799999</v>
      </c>
      <c r="H1465" s="156">
        <v>63060.81</v>
      </c>
      <c r="I1465" s="156">
        <v>2582.87</v>
      </c>
      <c r="J1465" s="156">
        <v>0</v>
      </c>
      <c r="K1465" s="131">
        <f t="shared" si="119"/>
        <v>65643.679999999993</v>
      </c>
      <c r="L1465" s="134">
        <v>0.1792</v>
      </c>
    </row>
    <row r="1466" spans="3:12">
      <c r="C1466" s="161">
        <f t="shared" si="117"/>
        <v>2018</v>
      </c>
      <c r="D1466" s="35" t="s">
        <v>282</v>
      </c>
      <c r="E1466" s="227">
        <v>43374</v>
      </c>
      <c r="F1466" s="156">
        <v>937271.12</v>
      </c>
      <c r="G1466" s="131">
        <f t="shared" si="118"/>
        <v>167958.984704</v>
      </c>
      <c r="H1466" s="156">
        <v>19850.189999999999</v>
      </c>
      <c r="I1466" s="156">
        <v>2258.5700000000002</v>
      </c>
      <c r="J1466" s="156">
        <v>0</v>
      </c>
      <c r="K1466" s="131">
        <f t="shared" si="119"/>
        <v>22108.76</v>
      </c>
      <c r="L1466" s="134">
        <v>0.1792</v>
      </c>
    </row>
    <row r="1467" spans="3:12">
      <c r="C1467" s="161">
        <f t="shared" si="117"/>
        <v>2018</v>
      </c>
      <c r="D1467" s="35" t="s">
        <v>282</v>
      </c>
      <c r="E1467" s="227">
        <v>43405</v>
      </c>
      <c r="F1467" s="156">
        <v>949822.76895000006</v>
      </c>
      <c r="G1467" s="131">
        <f t="shared" si="118"/>
        <v>170208.24019584002</v>
      </c>
      <c r="H1467" s="156">
        <v>9384.4500000000007</v>
      </c>
      <c r="I1467" s="156">
        <v>2742.54</v>
      </c>
      <c r="J1467" s="156">
        <v>43222.5</v>
      </c>
      <c r="K1467" s="131">
        <f t="shared" si="119"/>
        <v>55349.490000000005</v>
      </c>
      <c r="L1467" s="134">
        <v>0.1792</v>
      </c>
    </row>
    <row r="1468" spans="3:12">
      <c r="C1468" s="161">
        <f t="shared" si="117"/>
        <v>2018</v>
      </c>
      <c r="D1468" s="35" t="s">
        <v>282</v>
      </c>
      <c r="E1468" s="227">
        <v>43435</v>
      </c>
      <c r="F1468" s="156">
        <v>930650.64</v>
      </c>
      <c r="G1468" s="131">
        <f t="shared" si="118"/>
        <v>166772.59468800001</v>
      </c>
      <c r="H1468" s="156">
        <v>25979.279999999999</v>
      </c>
      <c r="I1468" s="156">
        <v>1409.18</v>
      </c>
      <c r="J1468" s="156">
        <v>0</v>
      </c>
      <c r="K1468" s="131">
        <f t="shared" si="119"/>
        <v>27388.46</v>
      </c>
      <c r="L1468" s="134">
        <v>0.1792</v>
      </c>
    </row>
    <row r="1469" spans="3:12">
      <c r="C1469" s="161">
        <f t="shared" si="117"/>
        <v>2019</v>
      </c>
      <c r="D1469" s="35" t="s">
        <v>282</v>
      </c>
      <c r="E1469" s="227">
        <v>43466</v>
      </c>
      <c r="F1469" s="156">
        <v>961873.77</v>
      </c>
      <c r="G1469" s="131">
        <f t="shared" si="118"/>
        <v>172367.779584</v>
      </c>
      <c r="H1469" s="156">
        <v>4020.89</v>
      </c>
      <c r="I1469" s="156">
        <v>0</v>
      </c>
      <c r="J1469" s="156">
        <v>2083.09</v>
      </c>
      <c r="K1469" s="131">
        <f t="shared" si="119"/>
        <v>6103.98</v>
      </c>
      <c r="L1469" s="134">
        <v>0.1792</v>
      </c>
    </row>
    <row r="1470" spans="3:12">
      <c r="C1470" s="161">
        <f t="shared" si="117"/>
        <v>2019</v>
      </c>
      <c r="D1470" s="35" t="s">
        <v>282</v>
      </c>
      <c r="E1470" s="227">
        <v>43497</v>
      </c>
      <c r="F1470" s="156">
        <v>929972.44</v>
      </c>
      <c r="G1470" s="131">
        <f t="shared" si="118"/>
        <v>166651.06124799998</v>
      </c>
      <c r="H1470" s="156">
        <v>28642.14</v>
      </c>
      <c r="I1470" s="156">
        <v>7736.6</v>
      </c>
      <c r="J1470" s="156">
        <v>0</v>
      </c>
      <c r="K1470" s="131">
        <f t="shared" si="119"/>
        <v>36378.74</v>
      </c>
      <c r="L1470" s="134">
        <v>0.1792</v>
      </c>
    </row>
    <row r="1471" spans="3:12">
      <c r="C1471" s="161">
        <f t="shared" si="117"/>
        <v>2019</v>
      </c>
      <c r="D1471" s="35" t="s">
        <v>282</v>
      </c>
      <c r="E1471" s="227">
        <v>43525</v>
      </c>
      <c r="F1471" s="156">
        <v>845022.4</v>
      </c>
      <c r="G1471" s="131">
        <f t="shared" si="118"/>
        <v>151428.01407999999</v>
      </c>
      <c r="H1471" s="156">
        <v>4639.1099999999997</v>
      </c>
      <c r="I1471" s="156">
        <v>2055.62</v>
      </c>
      <c r="J1471" s="156">
        <v>0</v>
      </c>
      <c r="K1471" s="131">
        <f t="shared" si="119"/>
        <v>6694.73</v>
      </c>
      <c r="L1471" s="134">
        <v>0.1792</v>
      </c>
    </row>
    <row r="1472" spans="3:12">
      <c r="C1472" s="161">
        <f t="shared" si="117"/>
        <v>2019</v>
      </c>
      <c r="D1472" s="35" t="s">
        <v>282</v>
      </c>
      <c r="E1472" s="227">
        <v>43556</v>
      </c>
      <c r="F1472" s="156">
        <v>908975.88</v>
      </c>
      <c r="G1472" s="131">
        <f t="shared" si="118"/>
        <v>162888.47769599999</v>
      </c>
      <c r="H1472" s="156">
        <v>5283.54</v>
      </c>
      <c r="I1472" s="156">
        <v>4790.33</v>
      </c>
      <c r="J1472" s="156">
        <v>0</v>
      </c>
      <c r="K1472" s="131">
        <f t="shared" si="119"/>
        <v>10073.869999999999</v>
      </c>
      <c r="L1472" s="134">
        <v>0.1792</v>
      </c>
    </row>
    <row r="1473" spans="3:12">
      <c r="C1473" s="161">
        <f t="shared" si="117"/>
        <v>2019</v>
      </c>
      <c r="D1473" s="35" t="s">
        <v>282</v>
      </c>
      <c r="E1473" s="227">
        <v>43586</v>
      </c>
      <c r="F1473" s="156">
        <v>900908.38</v>
      </c>
      <c r="G1473" s="131">
        <f t="shared" si="118"/>
        <v>161442.78169599999</v>
      </c>
      <c r="H1473" s="156">
        <v>6686.73</v>
      </c>
      <c r="I1473" s="156">
        <v>2904.57</v>
      </c>
      <c r="J1473" s="156">
        <v>0</v>
      </c>
      <c r="K1473" s="131">
        <f t="shared" si="119"/>
        <v>9591.2999999999993</v>
      </c>
      <c r="L1473" s="134">
        <v>0.1792</v>
      </c>
    </row>
    <row r="1474" spans="3:12">
      <c r="C1474" s="161">
        <f t="shared" si="117"/>
        <v>2019</v>
      </c>
      <c r="D1474" s="35" t="s">
        <v>282</v>
      </c>
      <c r="E1474" s="227">
        <v>43617</v>
      </c>
      <c r="F1474" s="156">
        <v>927337.51</v>
      </c>
      <c r="G1474" s="131">
        <f t="shared" si="118"/>
        <v>166178.881792</v>
      </c>
      <c r="H1474" s="156">
        <v>9602.07</v>
      </c>
      <c r="I1474" s="156">
        <v>174123.92</v>
      </c>
      <c r="J1474" s="156">
        <v>0</v>
      </c>
      <c r="K1474" s="131">
        <f t="shared" si="119"/>
        <v>183725.99000000002</v>
      </c>
      <c r="L1474" s="134">
        <v>0.1792</v>
      </c>
    </row>
    <row r="1475" spans="3:12">
      <c r="C1475" s="161">
        <f t="shared" si="117"/>
        <v>2019</v>
      </c>
      <c r="D1475" s="35" t="s">
        <v>282</v>
      </c>
      <c r="E1475" s="227">
        <v>43647</v>
      </c>
      <c r="F1475" s="156">
        <v>933529.09</v>
      </c>
      <c r="G1475" s="131">
        <f t="shared" si="118"/>
        <v>167288.41292800001</v>
      </c>
      <c r="H1475" s="156">
        <v>7349.3</v>
      </c>
      <c r="I1475" s="156">
        <v>2346.5700000000002</v>
      </c>
      <c r="J1475" s="156">
        <v>15724.78</v>
      </c>
      <c r="K1475" s="131">
        <f t="shared" si="119"/>
        <v>25420.65</v>
      </c>
      <c r="L1475" s="134">
        <v>0.1792</v>
      </c>
    </row>
    <row r="1476" spans="3:12">
      <c r="C1476" s="161">
        <f t="shared" ref="C1476:C1539" si="120">YEAR(E1476)</f>
        <v>2019</v>
      </c>
      <c r="D1476" s="35" t="s">
        <v>282</v>
      </c>
      <c r="E1476" s="227">
        <v>43678</v>
      </c>
      <c r="F1476" s="156">
        <v>996922.7</v>
      </c>
      <c r="G1476" s="131">
        <f t="shared" ref="G1476:G1539" si="121">F1476*L1476</f>
        <v>178648.54783999998</v>
      </c>
      <c r="H1476" s="156">
        <v>8254.09</v>
      </c>
      <c r="I1476" s="156">
        <v>0</v>
      </c>
      <c r="J1476" s="156">
        <v>0</v>
      </c>
      <c r="K1476" s="131">
        <f t="shared" ref="K1476:K1539" si="122">SUM(H1476:J1476)</f>
        <v>8254.09</v>
      </c>
      <c r="L1476" s="134">
        <v>0.1792</v>
      </c>
    </row>
    <row r="1477" spans="3:12">
      <c r="C1477" s="161">
        <f t="shared" si="120"/>
        <v>2019</v>
      </c>
      <c r="D1477" s="35" t="s">
        <v>282</v>
      </c>
      <c r="E1477" s="227">
        <v>43709</v>
      </c>
      <c r="F1477" s="156">
        <v>1167028.3700000001</v>
      </c>
      <c r="G1477" s="131">
        <f t="shared" si="121"/>
        <v>209131.48390400002</v>
      </c>
      <c r="H1477" s="156">
        <v>12581.62</v>
      </c>
      <c r="I1477" s="156">
        <v>2486.77</v>
      </c>
      <c r="J1477" s="156">
        <v>0</v>
      </c>
      <c r="K1477" s="131">
        <f t="shared" si="122"/>
        <v>15068.390000000001</v>
      </c>
      <c r="L1477" s="134">
        <v>0.1792</v>
      </c>
    </row>
    <row r="1478" spans="3:12">
      <c r="C1478" s="161">
        <f t="shared" si="120"/>
        <v>2019</v>
      </c>
      <c r="D1478" s="35" t="s">
        <v>282</v>
      </c>
      <c r="E1478" s="227">
        <v>43739</v>
      </c>
      <c r="F1478" s="156">
        <v>1065112.76</v>
      </c>
      <c r="G1478" s="131">
        <f t="shared" si="121"/>
        <v>190868.206592</v>
      </c>
      <c r="H1478" s="156">
        <v>3439.76</v>
      </c>
      <c r="I1478" s="156">
        <v>1968.74</v>
      </c>
      <c r="J1478" s="156">
        <v>375935.08</v>
      </c>
      <c r="K1478" s="131">
        <f t="shared" si="122"/>
        <v>381343.58</v>
      </c>
      <c r="L1478" s="134">
        <v>0.1792</v>
      </c>
    </row>
    <row r="1479" spans="3:12">
      <c r="C1479" s="161">
        <f t="shared" si="120"/>
        <v>2019</v>
      </c>
      <c r="D1479" s="35" t="s">
        <v>282</v>
      </c>
      <c r="E1479" s="227">
        <v>43770</v>
      </c>
      <c r="F1479" s="156">
        <v>1053795.92</v>
      </c>
      <c r="G1479" s="131">
        <f t="shared" si="121"/>
        <v>188840.22886399998</v>
      </c>
      <c r="H1479" s="156">
        <v>7085.11</v>
      </c>
      <c r="I1479" s="156">
        <v>39891.53</v>
      </c>
      <c r="J1479" s="156">
        <v>0</v>
      </c>
      <c r="K1479" s="131">
        <f t="shared" si="122"/>
        <v>46976.639999999999</v>
      </c>
      <c r="L1479" s="134">
        <v>0.1792</v>
      </c>
    </row>
    <row r="1480" spans="3:12">
      <c r="C1480" s="161">
        <f t="shared" si="120"/>
        <v>2019</v>
      </c>
      <c r="D1480" s="35" t="s">
        <v>282</v>
      </c>
      <c r="E1480" s="227">
        <v>43800</v>
      </c>
      <c r="F1480" s="156">
        <v>983218.79</v>
      </c>
      <c r="G1480" s="131">
        <f t="shared" si="121"/>
        <v>176192.807168</v>
      </c>
      <c r="H1480" s="156">
        <v>7241.45</v>
      </c>
      <c r="I1480" s="156">
        <v>4622.3599999999997</v>
      </c>
      <c r="J1480" s="156">
        <v>0</v>
      </c>
      <c r="K1480" s="131">
        <f t="shared" si="122"/>
        <v>11863.81</v>
      </c>
      <c r="L1480" s="134">
        <v>0.1792</v>
      </c>
    </row>
    <row r="1481" spans="3:12">
      <c r="C1481" s="161">
        <f t="shared" si="120"/>
        <v>2020</v>
      </c>
      <c r="D1481" s="35" t="s">
        <v>282</v>
      </c>
      <c r="E1481" s="227">
        <v>43831</v>
      </c>
      <c r="F1481" s="156">
        <v>990888.1</v>
      </c>
      <c r="G1481" s="131">
        <f t="shared" si="121"/>
        <v>177567.14752</v>
      </c>
      <c r="H1481" s="156">
        <v>13598.67</v>
      </c>
      <c r="I1481" s="156">
        <v>36522.6</v>
      </c>
      <c r="J1481" s="156">
        <v>3371.28</v>
      </c>
      <c r="K1481" s="131">
        <f t="shared" si="122"/>
        <v>53492.549999999996</v>
      </c>
      <c r="L1481" s="134">
        <v>0.1792</v>
      </c>
    </row>
    <row r="1482" spans="3:12">
      <c r="C1482" s="161">
        <f t="shared" si="120"/>
        <v>2020</v>
      </c>
      <c r="D1482" s="35" t="s">
        <v>282</v>
      </c>
      <c r="E1482" s="227">
        <v>43862</v>
      </c>
      <c r="F1482" s="156">
        <v>983305.6</v>
      </c>
      <c r="G1482" s="131">
        <f t="shared" si="121"/>
        <v>176208.36351999998</v>
      </c>
      <c r="H1482" s="156">
        <v>8235.94</v>
      </c>
      <c r="I1482" s="156">
        <v>0</v>
      </c>
      <c r="J1482" s="156">
        <v>1995</v>
      </c>
      <c r="K1482" s="131">
        <f t="shared" si="122"/>
        <v>10230.94</v>
      </c>
      <c r="L1482" s="134">
        <v>0.1792</v>
      </c>
    </row>
    <row r="1483" spans="3:12">
      <c r="C1483" s="161">
        <f t="shared" si="120"/>
        <v>2020</v>
      </c>
      <c r="D1483" s="35" t="s">
        <v>282</v>
      </c>
      <c r="E1483" s="227">
        <v>43891</v>
      </c>
      <c r="F1483" s="156">
        <v>979686.10739999998</v>
      </c>
      <c r="G1483" s="131">
        <f t="shared" si="121"/>
        <v>175559.75044608</v>
      </c>
      <c r="H1483" s="156">
        <v>32223.91</v>
      </c>
      <c r="I1483" s="156">
        <v>646.39</v>
      </c>
      <c r="J1483" s="156">
        <v>0</v>
      </c>
      <c r="K1483" s="131">
        <f t="shared" si="122"/>
        <v>32870.300000000003</v>
      </c>
      <c r="L1483" s="134">
        <v>0.1792</v>
      </c>
    </row>
    <row r="1484" spans="3:12">
      <c r="C1484" s="161">
        <f t="shared" si="120"/>
        <v>2020</v>
      </c>
      <c r="D1484" s="35" t="s">
        <v>282</v>
      </c>
      <c r="E1484" s="227">
        <v>43922</v>
      </c>
      <c r="F1484" s="156">
        <v>1042213.265775</v>
      </c>
      <c r="G1484" s="131">
        <f t="shared" si="121"/>
        <v>186764.61722687999</v>
      </c>
      <c r="H1484" s="156">
        <v>6865.5</v>
      </c>
      <c r="I1484" s="156">
        <v>1563.63</v>
      </c>
      <c r="J1484" s="156">
        <v>0</v>
      </c>
      <c r="K1484" s="131">
        <f t="shared" si="122"/>
        <v>8429.130000000001</v>
      </c>
      <c r="L1484" s="134">
        <v>0.1792</v>
      </c>
    </row>
    <row r="1485" spans="3:12">
      <c r="C1485" s="161">
        <f t="shared" si="120"/>
        <v>2020</v>
      </c>
      <c r="D1485" s="35" t="s">
        <v>282</v>
      </c>
      <c r="E1485" s="227">
        <v>43952</v>
      </c>
      <c r="F1485" s="156">
        <v>959376.63</v>
      </c>
      <c r="G1485" s="131">
        <f t="shared" si="121"/>
        <v>171920.29209599999</v>
      </c>
      <c r="H1485" s="156">
        <v>8299.6299999999992</v>
      </c>
      <c r="I1485" s="156">
        <v>740.11</v>
      </c>
      <c r="J1485" s="156">
        <v>0</v>
      </c>
      <c r="K1485" s="131">
        <f t="shared" si="122"/>
        <v>9039.74</v>
      </c>
      <c r="L1485" s="134">
        <v>0.1792</v>
      </c>
    </row>
    <row r="1486" spans="3:12">
      <c r="C1486" s="161">
        <f t="shared" si="120"/>
        <v>2020</v>
      </c>
      <c r="D1486" s="35" t="s">
        <v>282</v>
      </c>
      <c r="E1486" s="227">
        <v>43983</v>
      </c>
      <c r="F1486" s="156">
        <v>908253.08</v>
      </c>
      <c r="G1486" s="131">
        <f t="shared" si="121"/>
        <v>162758.951936</v>
      </c>
      <c r="H1486" s="156">
        <v>9211.2199999999993</v>
      </c>
      <c r="I1486" s="156">
        <v>3621.43</v>
      </c>
      <c r="J1486" s="156">
        <v>0</v>
      </c>
      <c r="K1486" s="131">
        <f t="shared" si="122"/>
        <v>12832.65</v>
      </c>
      <c r="L1486" s="134">
        <v>0.1792</v>
      </c>
    </row>
    <row r="1487" spans="3:12">
      <c r="C1487" s="161">
        <f t="shared" si="120"/>
        <v>2020</v>
      </c>
      <c r="D1487" s="35" t="s">
        <v>282</v>
      </c>
      <c r="E1487" s="227">
        <v>44013</v>
      </c>
      <c r="F1487" s="156">
        <v>979245.55</v>
      </c>
      <c r="G1487" s="131">
        <f t="shared" si="121"/>
        <v>175480.80256000001</v>
      </c>
      <c r="H1487" s="156">
        <v>10065.51</v>
      </c>
      <c r="I1487" s="156">
        <v>0</v>
      </c>
      <c r="J1487" s="156">
        <v>0</v>
      </c>
      <c r="K1487" s="131">
        <f t="shared" si="122"/>
        <v>10065.51</v>
      </c>
      <c r="L1487" s="134">
        <v>0.1792</v>
      </c>
    </row>
    <row r="1488" spans="3:12">
      <c r="C1488" s="161">
        <f t="shared" si="120"/>
        <v>2020</v>
      </c>
      <c r="D1488" s="35" t="s">
        <v>282</v>
      </c>
      <c r="E1488" s="227">
        <v>44044</v>
      </c>
      <c r="F1488" s="156">
        <v>1056323.3899999999</v>
      </c>
      <c r="G1488" s="131">
        <f t="shared" si="121"/>
        <v>189293.15148799997</v>
      </c>
      <c r="H1488" s="156">
        <v>15703.47</v>
      </c>
      <c r="I1488" s="156">
        <v>1453638.73</v>
      </c>
      <c r="J1488" s="156">
        <v>0</v>
      </c>
      <c r="K1488" s="131">
        <f t="shared" si="122"/>
        <v>1469342.2</v>
      </c>
      <c r="L1488" s="134">
        <v>0.1792</v>
      </c>
    </row>
    <row r="1489" spans="3:12">
      <c r="C1489" s="161">
        <f t="shared" si="120"/>
        <v>2020</v>
      </c>
      <c r="D1489" s="35" t="s">
        <v>282</v>
      </c>
      <c r="E1489" s="227">
        <v>44075</v>
      </c>
      <c r="F1489" s="156">
        <v>1180905.77</v>
      </c>
      <c r="G1489" s="131">
        <f t="shared" si="121"/>
        <v>211618.31398400001</v>
      </c>
      <c r="H1489" s="156">
        <v>86519.39</v>
      </c>
      <c r="I1489" s="156">
        <v>2526.5700000000002</v>
      </c>
      <c r="J1489" s="156">
        <v>2227.2600000000002</v>
      </c>
      <c r="K1489" s="131">
        <f t="shared" si="122"/>
        <v>91273.22</v>
      </c>
      <c r="L1489" s="134">
        <v>0.1792</v>
      </c>
    </row>
    <row r="1490" spans="3:12">
      <c r="C1490" s="161">
        <f t="shared" si="120"/>
        <v>2020</v>
      </c>
      <c r="D1490" s="35" t="s">
        <v>282</v>
      </c>
      <c r="E1490" s="227">
        <v>44105</v>
      </c>
      <c r="F1490" s="156">
        <v>1235638.69</v>
      </c>
      <c r="G1490" s="131">
        <f t="shared" si="121"/>
        <v>221426.45324799998</v>
      </c>
      <c r="H1490" s="156">
        <v>26724.23</v>
      </c>
      <c r="I1490" s="156">
        <v>2233.19</v>
      </c>
      <c r="J1490" s="156">
        <v>39350</v>
      </c>
      <c r="K1490" s="131">
        <f t="shared" si="122"/>
        <v>68307.42</v>
      </c>
      <c r="L1490" s="134">
        <v>0.1792</v>
      </c>
    </row>
    <row r="1491" spans="3:12">
      <c r="C1491" s="161">
        <f t="shared" si="120"/>
        <v>2020</v>
      </c>
      <c r="D1491" s="35" t="s">
        <v>282</v>
      </c>
      <c r="E1491" s="227">
        <v>44136</v>
      </c>
      <c r="F1491" s="156">
        <v>1095165.32</v>
      </c>
      <c r="G1491" s="131">
        <f t="shared" si="121"/>
        <v>196253.625344</v>
      </c>
      <c r="H1491" s="156">
        <v>11898.28</v>
      </c>
      <c r="I1491" s="156">
        <v>4034.13</v>
      </c>
      <c r="J1491" s="156">
        <v>0</v>
      </c>
      <c r="K1491" s="131">
        <f t="shared" si="122"/>
        <v>15932.41</v>
      </c>
      <c r="L1491" s="134">
        <v>0.1792</v>
      </c>
    </row>
    <row r="1492" spans="3:12">
      <c r="C1492" s="161">
        <f t="shared" si="120"/>
        <v>2020</v>
      </c>
      <c r="D1492" s="35" t="s">
        <v>282</v>
      </c>
      <c r="E1492" s="227">
        <v>44166</v>
      </c>
      <c r="F1492" s="156">
        <v>1092354.44</v>
      </c>
      <c r="G1492" s="131">
        <f t="shared" si="121"/>
        <v>195749.91564799999</v>
      </c>
      <c r="H1492" s="156">
        <v>198022.19</v>
      </c>
      <c r="I1492" s="156">
        <v>1376.65</v>
      </c>
      <c r="J1492" s="156">
        <v>0</v>
      </c>
      <c r="K1492" s="131">
        <f t="shared" si="122"/>
        <v>199398.84</v>
      </c>
      <c r="L1492" s="134">
        <v>0.1792</v>
      </c>
    </row>
    <row r="1493" spans="3:12">
      <c r="C1493" s="161">
        <f t="shared" si="120"/>
        <v>2021</v>
      </c>
      <c r="D1493" s="35" t="s">
        <v>282</v>
      </c>
      <c r="E1493" s="227">
        <v>44197</v>
      </c>
      <c r="F1493" s="156">
        <v>1096327.3400000001</v>
      </c>
      <c r="G1493" s="131">
        <f t="shared" si="121"/>
        <v>196461.85932800002</v>
      </c>
      <c r="H1493" s="156">
        <v>17660.45</v>
      </c>
      <c r="I1493" s="156">
        <v>0</v>
      </c>
      <c r="J1493" s="156">
        <v>0</v>
      </c>
      <c r="K1493" s="131">
        <f t="shared" si="122"/>
        <v>17660.45</v>
      </c>
      <c r="L1493" s="134">
        <v>0.1792</v>
      </c>
    </row>
    <row r="1494" spans="3:12">
      <c r="C1494" s="161">
        <f t="shared" si="120"/>
        <v>2021</v>
      </c>
      <c r="D1494" s="35" t="s">
        <v>282</v>
      </c>
      <c r="E1494" s="227">
        <v>44229</v>
      </c>
      <c r="F1494" s="156">
        <v>1066402.3999999999</v>
      </c>
      <c r="G1494" s="131">
        <f t="shared" si="121"/>
        <v>191099.31008</v>
      </c>
      <c r="H1494" s="156">
        <v>24701.54</v>
      </c>
      <c r="I1494" s="156">
        <v>0</v>
      </c>
      <c r="J1494" s="156">
        <v>0</v>
      </c>
      <c r="K1494" s="131">
        <f t="shared" si="122"/>
        <v>24701.54</v>
      </c>
      <c r="L1494" s="134">
        <v>0.1792</v>
      </c>
    </row>
    <row r="1495" spans="3:12">
      <c r="C1495" s="161">
        <f t="shared" si="120"/>
        <v>2021</v>
      </c>
      <c r="D1495" s="35" t="s">
        <v>282</v>
      </c>
      <c r="E1495" s="227">
        <v>44258</v>
      </c>
      <c r="F1495" s="156">
        <v>949137.92000000004</v>
      </c>
      <c r="G1495" s="131">
        <f t="shared" si="121"/>
        <v>170085.51526400002</v>
      </c>
      <c r="H1495" s="156">
        <v>22998.25</v>
      </c>
      <c r="I1495" s="156">
        <v>6530.76</v>
      </c>
      <c r="J1495" s="156">
        <v>0</v>
      </c>
      <c r="K1495" s="131">
        <f t="shared" si="122"/>
        <v>29529.010000000002</v>
      </c>
      <c r="L1495" s="134">
        <v>0.1792</v>
      </c>
    </row>
    <row r="1496" spans="3:12">
      <c r="C1496" s="161">
        <f t="shared" si="120"/>
        <v>2021</v>
      </c>
      <c r="D1496" s="35" t="s">
        <v>282</v>
      </c>
      <c r="E1496" s="227">
        <v>44290</v>
      </c>
      <c r="F1496" s="156">
        <v>1099720.53</v>
      </c>
      <c r="G1496" s="131">
        <f t="shared" si="121"/>
        <v>197069.91897600002</v>
      </c>
      <c r="H1496" s="156">
        <v>9627.9</v>
      </c>
      <c r="I1496" s="156">
        <v>1902.98</v>
      </c>
      <c r="J1496" s="156">
        <v>0</v>
      </c>
      <c r="K1496" s="131">
        <f t="shared" si="122"/>
        <v>11530.88</v>
      </c>
      <c r="L1496" s="134">
        <v>0.1792</v>
      </c>
    </row>
    <row r="1497" spans="3:12">
      <c r="C1497" s="161">
        <f t="shared" si="120"/>
        <v>2021</v>
      </c>
      <c r="D1497" s="35" t="s">
        <v>282</v>
      </c>
      <c r="E1497" s="227">
        <v>44321</v>
      </c>
      <c r="F1497" s="156">
        <v>1055419.08</v>
      </c>
      <c r="G1497" s="131">
        <f t="shared" si="121"/>
        <v>189131.099136</v>
      </c>
      <c r="H1497" s="156">
        <v>8859.06</v>
      </c>
      <c r="I1497" s="156">
        <v>0</v>
      </c>
      <c r="J1497" s="156">
        <v>16357.64</v>
      </c>
      <c r="K1497" s="131">
        <f t="shared" si="122"/>
        <v>25216.699999999997</v>
      </c>
      <c r="L1497" s="134">
        <v>0.1792</v>
      </c>
    </row>
    <row r="1498" spans="3:12">
      <c r="C1498" s="161">
        <f t="shared" si="120"/>
        <v>2021</v>
      </c>
      <c r="D1498" s="35" t="s">
        <v>282</v>
      </c>
      <c r="E1498" s="227">
        <v>44353</v>
      </c>
      <c r="F1498" s="156">
        <v>1032442.29</v>
      </c>
      <c r="G1498" s="131">
        <f t="shared" si="121"/>
        <v>185013.658368</v>
      </c>
      <c r="H1498" s="156">
        <v>36752.959999999999</v>
      </c>
      <c r="I1498" s="156">
        <v>0</v>
      </c>
      <c r="J1498" s="156">
        <v>0</v>
      </c>
      <c r="K1498" s="131">
        <f t="shared" si="122"/>
        <v>36752.959999999999</v>
      </c>
      <c r="L1498" s="134">
        <v>0.1792</v>
      </c>
    </row>
    <row r="1499" spans="3:12">
      <c r="C1499" s="161">
        <f t="shared" si="120"/>
        <v>2015</v>
      </c>
      <c r="D1499" s="35" t="s">
        <v>283</v>
      </c>
      <c r="E1499" s="227">
        <v>42309</v>
      </c>
      <c r="F1499" s="156">
        <v>269545.58</v>
      </c>
      <c r="G1499" s="131">
        <f t="shared" si="121"/>
        <v>48302.567935999999</v>
      </c>
      <c r="H1499" s="156">
        <v>1304.44</v>
      </c>
      <c r="I1499" s="156">
        <v>0</v>
      </c>
      <c r="J1499" s="156">
        <v>0</v>
      </c>
      <c r="K1499" s="131">
        <f t="shared" si="122"/>
        <v>1304.44</v>
      </c>
      <c r="L1499" s="134">
        <v>0.1792</v>
      </c>
    </row>
    <row r="1500" spans="3:12">
      <c r="C1500" s="161">
        <f t="shared" si="120"/>
        <v>2015</v>
      </c>
      <c r="D1500" s="35" t="s">
        <v>283</v>
      </c>
      <c r="E1500" s="227">
        <v>42339</v>
      </c>
      <c r="F1500" s="156">
        <v>236257.41</v>
      </c>
      <c r="G1500" s="131">
        <f t="shared" si="121"/>
        <v>42337.327872000002</v>
      </c>
      <c r="H1500" s="156">
        <v>1594.78</v>
      </c>
      <c r="I1500" s="156">
        <v>0</v>
      </c>
      <c r="J1500" s="156">
        <v>0</v>
      </c>
      <c r="K1500" s="131">
        <f t="shared" si="122"/>
        <v>1594.78</v>
      </c>
      <c r="L1500" s="134">
        <v>0.1792</v>
      </c>
    </row>
    <row r="1501" spans="3:12">
      <c r="C1501" s="161">
        <f t="shared" si="120"/>
        <v>2016</v>
      </c>
      <c r="D1501" s="35" t="s">
        <v>283</v>
      </c>
      <c r="E1501" s="227">
        <v>42370</v>
      </c>
      <c r="F1501" s="156">
        <v>264984.98</v>
      </c>
      <c r="G1501" s="131">
        <f t="shared" si="121"/>
        <v>47485.308415999993</v>
      </c>
      <c r="H1501" s="156">
        <v>1205.1199999999999</v>
      </c>
      <c r="I1501" s="156">
        <v>0</v>
      </c>
      <c r="J1501" s="156">
        <v>0</v>
      </c>
      <c r="K1501" s="131">
        <f t="shared" si="122"/>
        <v>1205.1199999999999</v>
      </c>
      <c r="L1501" s="134">
        <v>0.1792</v>
      </c>
    </row>
    <row r="1502" spans="3:12">
      <c r="C1502" s="161">
        <f t="shared" si="120"/>
        <v>2016</v>
      </c>
      <c r="D1502" s="35" t="s">
        <v>283</v>
      </c>
      <c r="E1502" s="227">
        <v>42401</v>
      </c>
      <c r="F1502" s="156">
        <v>275093.09999999998</v>
      </c>
      <c r="G1502" s="131">
        <f t="shared" si="121"/>
        <v>49296.683519999999</v>
      </c>
      <c r="H1502" s="156">
        <v>1948.81</v>
      </c>
      <c r="I1502" s="156">
        <v>0</v>
      </c>
      <c r="J1502" s="156">
        <v>0</v>
      </c>
      <c r="K1502" s="131">
        <f t="shared" si="122"/>
        <v>1948.81</v>
      </c>
      <c r="L1502" s="134">
        <v>0.1792</v>
      </c>
    </row>
    <row r="1503" spans="3:12">
      <c r="C1503" s="161">
        <f t="shared" si="120"/>
        <v>2016</v>
      </c>
      <c r="D1503" s="35" t="s">
        <v>283</v>
      </c>
      <c r="E1503" s="227">
        <v>42430</v>
      </c>
      <c r="F1503" s="156">
        <v>255398.35</v>
      </c>
      <c r="G1503" s="131">
        <f t="shared" si="121"/>
        <v>45767.384319999997</v>
      </c>
      <c r="H1503" s="156">
        <v>1694.77</v>
      </c>
      <c r="I1503" s="156">
        <v>0</v>
      </c>
      <c r="J1503" s="156">
        <v>0</v>
      </c>
      <c r="K1503" s="131">
        <f t="shared" si="122"/>
        <v>1694.77</v>
      </c>
      <c r="L1503" s="134">
        <v>0.1792</v>
      </c>
    </row>
    <row r="1504" spans="3:12">
      <c r="C1504" s="161">
        <f t="shared" si="120"/>
        <v>2016</v>
      </c>
      <c r="D1504" s="35" t="s">
        <v>283</v>
      </c>
      <c r="E1504" s="227">
        <v>42461</v>
      </c>
      <c r="F1504" s="156">
        <v>294211.43</v>
      </c>
      <c r="G1504" s="131">
        <f t="shared" si="121"/>
        <v>52722.688256000001</v>
      </c>
      <c r="H1504" s="156">
        <v>2034.93</v>
      </c>
      <c r="I1504" s="156">
        <v>0</v>
      </c>
      <c r="J1504" s="156">
        <v>0</v>
      </c>
      <c r="K1504" s="131">
        <f t="shared" si="122"/>
        <v>2034.93</v>
      </c>
      <c r="L1504" s="134">
        <v>0.1792</v>
      </c>
    </row>
    <row r="1505" spans="3:12">
      <c r="C1505" s="161">
        <f t="shared" si="120"/>
        <v>2016</v>
      </c>
      <c r="D1505" s="35" t="s">
        <v>283</v>
      </c>
      <c r="E1505" s="227">
        <v>42491</v>
      </c>
      <c r="F1505" s="156">
        <v>266943.78999999998</v>
      </c>
      <c r="G1505" s="131">
        <f t="shared" si="121"/>
        <v>47836.327167999996</v>
      </c>
      <c r="H1505" s="156">
        <v>1460.78</v>
      </c>
      <c r="I1505" s="156">
        <v>0</v>
      </c>
      <c r="J1505" s="156">
        <v>0</v>
      </c>
      <c r="K1505" s="131">
        <f t="shared" si="122"/>
        <v>1460.78</v>
      </c>
      <c r="L1505" s="134">
        <v>0.1792</v>
      </c>
    </row>
    <row r="1506" spans="3:12">
      <c r="C1506" s="161">
        <f t="shared" si="120"/>
        <v>2016</v>
      </c>
      <c r="D1506" s="35" t="s">
        <v>283</v>
      </c>
      <c r="E1506" s="227">
        <v>42522</v>
      </c>
      <c r="F1506" s="156">
        <v>238065.89</v>
      </c>
      <c r="G1506" s="131">
        <f t="shared" si="121"/>
        <v>42661.407488000004</v>
      </c>
      <c r="H1506" s="156">
        <v>1028.68</v>
      </c>
      <c r="I1506" s="156">
        <v>0</v>
      </c>
      <c r="J1506" s="156">
        <v>0</v>
      </c>
      <c r="K1506" s="131">
        <f t="shared" si="122"/>
        <v>1028.68</v>
      </c>
      <c r="L1506" s="134">
        <v>0.1792</v>
      </c>
    </row>
    <row r="1507" spans="3:12">
      <c r="C1507" s="161">
        <f t="shared" si="120"/>
        <v>2016</v>
      </c>
      <c r="D1507" s="35" t="s">
        <v>283</v>
      </c>
      <c r="E1507" s="227">
        <v>42552</v>
      </c>
      <c r="F1507" s="156">
        <v>280373.08</v>
      </c>
      <c r="G1507" s="131">
        <f t="shared" si="121"/>
        <v>50242.855936</v>
      </c>
      <c r="H1507" s="156">
        <v>1807.45</v>
      </c>
      <c r="I1507" s="156">
        <v>0</v>
      </c>
      <c r="J1507" s="156">
        <v>0</v>
      </c>
      <c r="K1507" s="131">
        <f t="shared" si="122"/>
        <v>1807.45</v>
      </c>
      <c r="L1507" s="134">
        <v>0.1792</v>
      </c>
    </row>
    <row r="1508" spans="3:12">
      <c r="C1508" s="161">
        <f t="shared" si="120"/>
        <v>2016</v>
      </c>
      <c r="D1508" s="35" t="s">
        <v>283</v>
      </c>
      <c r="E1508" s="227">
        <v>42583</v>
      </c>
      <c r="F1508" s="156">
        <v>270105.15000000002</v>
      </c>
      <c r="G1508" s="131">
        <f t="shared" si="121"/>
        <v>48402.842880000004</v>
      </c>
      <c r="H1508" s="156">
        <v>12300.03</v>
      </c>
      <c r="I1508" s="156">
        <v>0</v>
      </c>
      <c r="J1508" s="156">
        <v>5752.71</v>
      </c>
      <c r="K1508" s="131">
        <f t="shared" si="122"/>
        <v>18052.740000000002</v>
      </c>
      <c r="L1508" s="134">
        <v>0.1792</v>
      </c>
    </row>
    <row r="1509" spans="3:12">
      <c r="C1509" s="161">
        <f t="shared" si="120"/>
        <v>2016</v>
      </c>
      <c r="D1509" s="35" t="s">
        <v>283</v>
      </c>
      <c r="E1509" s="227">
        <v>42614</v>
      </c>
      <c r="F1509" s="156">
        <v>272252.02</v>
      </c>
      <c r="G1509" s="131">
        <f t="shared" si="121"/>
        <v>48787.561984</v>
      </c>
      <c r="H1509" s="156">
        <v>1621.39</v>
      </c>
      <c r="I1509" s="156">
        <v>0</v>
      </c>
      <c r="J1509" s="156">
        <v>0</v>
      </c>
      <c r="K1509" s="131">
        <f t="shared" si="122"/>
        <v>1621.39</v>
      </c>
      <c r="L1509" s="134">
        <v>0.1792</v>
      </c>
    </row>
    <row r="1510" spans="3:12">
      <c r="C1510" s="161">
        <f t="shared" si="120"/>
        <v>2016</v>
      </c>
      <c r="D1510" s="35" t="s">
        <v>283</v>
      </c>
      <c r="E1510" s="227">
        <v>42644</v>
      </c>
      <c r="F1510" s="156">
        <v>285329.7</v>
      </c>
      <c r="G1510" s="131">
        <f t="shared" si="121"/>
        <v>51131.082240000003</v>
      </c>
      <c r="H1510" s="156">
        <v>3543.32</v>
      </c>
      <c r="I1510" s="156">
        <v>0</v>
      </c>
      <c r="J1510" s="156">
        <v>0</v>
      </c>
      <c r="K1510" s="131">
        <f t="shared" si="122"/>
        <v>3543.32</v>
      </c>
      <c r="L1510" s="134">
        <v>0.1792</v>
      </c>
    </row>
    <row r="1511" spans="3:12">
      <c r="C1511" s="161">
        <f t="shared" si="120"/>
        <v>2016</v>
      </c>
      <c r="D1511" s="35" t="s">
        <v>283</v>
      </c>
      <c r="E1511" s="227">
        <v>42675</v>
      </c>
      <c r="F1511" s="156">
        <v>300026.36</v>
      </c>
      <c r="G1511" s="131">
        <f t="shared" si="121"/>
        <v>53764.723711999999</v>
      </c>
      <c r="H1511" s="156">
        <v>12015.44</v>
      </c>
      <c r="I1511" s="156">
        <v>0</v>
      </c>
      <c r="J1511" s="156">
        <v>0</v>
      </c>
      <c r="K1511" s="131">
        <f t="shared" si="122"/>
        <v>12015.44</v>
      </c>
      <c r="L1511" s="134">
        <v>0.1792</v>
      </c>
    </row>
    <row r="1512" spans="3:12">
      <c r="C1512" s="161">
        <f t="shared" si="120"/>
        <v>2016</v>
      </c>
      <c r="D1512" s="35" t="s">
        <v>283</v>
      </c>
      <c r="E1512" s="227">
        <v>42705</v>
      </c>
      <c r="F1512" s="156">
        <v>298669.90999999997</v>
      </c>
      <c r="G1512" s="131">
        <f t="shared" si="121"/>
        <v>53521.647871999994</v>
      </c>
      <c r="H1512" s="156">
        <v>151.22999999999999</v>
      </c>
      <c r="I1512" s="156">
        <v>0</v>
      </c>
      <c r="J1512" s="156">
        <v>0</v>
      </c>
      <c r="K1512" s="131">
        <f t="shared" si="122"/>
        <v>151.22999999999999</v>
      </c>
      <c r="L1512" s="134">
        <v>0.1792</v>
      </c>
    </row>
    <row r="1513" spans="3:12">
      <c r="C1513" s="161">
        <f t="shared" si="120"/>
        <v>2017</v>
      </c>
      <c r="D1513" s="35" t="s">
        <v>283</v>
      </c>
      <c r="E1513" s="227">
        <v>42736</v>
      </c>
      <c r="F1513" s="156">
        <v>300398.37</v>
      </c>
      <c r="G1513" s="131">
        <f t="shared" si="121"/>
        <v>53831.387903999996</v>
      </c>
      <c r="H1513" s="156">
        <v>2847.18</v>
      </c>
      <c r="I1513" s="156">
        <v>0</v>
      </c>
      <c r="J1513" s="156">
        <v>266</v>
      </c>
      <c r="K1513" s="131">
        <f t="shared" si="122"/>
        <v>3113.18</v>
      </c>
      <c r="L1513" s="134">
        <v>0.1792</v>
      </c>
    </row>
    <row r="1514" spans="3:12">
      <c r="C1514" s="161">
        <f t="shared" si="120"/>
        <v>2017</v>
      </c>
      <c r="D1514" s="35" t="s">
        <v>283</v>
      </c>
      <c r="E1514" s="227">
        <v>42767</v>
      </c>
      <c r="F1514" s="156">
        <v>293891.11</v>
      </c>
      <c r="G1514" s="131">
        <f t="shared" si="121"/>
        <v>52665.286911999996</v>
      </c>
      <c r="H1514" s="156">
        <v>1285.6400000000001</v>
      </c>
      <c r="I1514" s="156">
        <v>0</v>
      </c>
      <c r="J1514" s="156">
        <v>1584.2</v>
      </c>
      <c r="K1514" s="131">
        <f t="shared" si="122"/>
        <v>2869.84</v>
      </c>
      <c r="L1514" s="134">
        <v>0.1792</v>
      </c>
    </row>
    <row r="1515" spans="3:12">
      <c r="C1515" s="161">
        <f t="shared" si="120"/>
        <v>2017</v>
      </c>
      <c r="D1515" s="35" t="s">
        <v>283</v>
      </c>
      <c r="E1515" s="227">
        <v>42795</v>
      </c>
      <c r="F1515" s="156">
        <v>275374.05</v>
      </c>
      <c r="G1515" s="131">
        <f t="shared" si="121"/>
        <v>49347.029759999998</v>
      </c>
      <c r="H1515" s="156">
        <v>7678.18</v>
      </c>
      <c r="I1515" s="156">
        <v>0</v>
      </c>
      <c r="J1515" s="156">
        <v>0</v>
      </c>
      <c r="K1515" s="131">
        <f t="shared" si="122"/>
        <v>7678.18</v>
      </c>
      <c r="L1515" s="134">
        <v>0.1792</v>
      </c>
    </row>
    <row r="1516" spans="3:12">
      <c r="C1516" s="161">
        <f t="shared" si="120"/>
        <v>2017</v>
      </c>
      <c r="D1516" s="35" t="s">
        <v>283</v>
      </c>
      <c r="E1516" s="227">
        <v>42826</v>
      </c>
      <c r="F1516" s="156">
        <v>276749.37</v>
      </c>
      <c r="G1516" s="131">
        <f t="shared" si="121"/>
        <v>49593.487104</v>
      </c>
      <c r="H1516" s="156">
        <v>27322.19</v>
      </c>
      <c r="I1516" s="156">
        <v>0</v>
      </c>
      <c r="J1516" s="156">
        <v>0</v>
      </c>
      <c r="K1516" s="131">
        <f t="shared" si="122"/>
        <v>27322.19</v>
      </c>
      <c r="L1516" s="134">
        <v>0.1792</v>
      </c>
    </row>
    <row r="1517" spans="3:12">
      <c r="C1517" s="161">
        <f t="shared" si="120"/>
        <v>2017</v>
      </c>
      <c r="D1517" s="35" t="s">
        <v>283</v>
      </c>
      <c r="E1517" s="227">
        <v>42856</v>
      </c>
      <c r="F1517" s="156">
        <v>261713.06</v>
      </c>
      <c r="G1517" s="131">
        <f t="shared" si="121"/>
        <v>46898.980351999999</v>
      </c>
      <c r="H1517" s="156">
        <v>607.42999999999995</v>
      </c>
      <c r="I1517" s="156">
        <v>0</v>
      </c>
      <c r="J1517" s="156">
        <v>0</v>
      </c>
      <c r="K1517" s="131">
        <f t="shared" si="122"/>
        <v>607.42999999999995</v>
      </c>
      <c r="L1517" s="134">
        <v>0.1792</v>
      </c>
    </row>
    <row r="1518" spans="3:12">
      <c r="C1518" s="161">
        <f t="shared" si="120"/>
        <v>2017</v>
      </c>
      <c r="D1518" s="35" t="s">
        <v>283</v>
      </c>
      <c r="E1518" s="227">
        <v>42887</v>
      </c>
      <c r="F1518" s="156">
        <v>261990.68</v>
      </c>
      <c r="G1518" s="131">
        <f t="shared" si="121"/>
        <v>46948.729855999998</v>
      </c>
      <c r="H1518" s="156">
        <v>7259.72</v>
      </c>
      <c r="I1518" s="156">
        <v>0</v>
      </c>
      <c r="J1518" s="156">
        <v>0</v>
      </c>
      <c r="K1518" s="131">
        <f t="shared" si="122"/>
        <v>7259.72</v>
      </c>
      <c r="L1518" s="134">
        <v>0.1792</v>
      </c>
    </row>
    <row r="1519" spans="3:12">
      <c r="C1519" s="161">
        <f t="shared" si="120"/>
        <v>2017</v>
      </c>
      <c r="D1519" s="35" t="s">
        <v>283</v>
      </c>
      <c r="E1519" s="227">
        <v>42917</v>
      </c>
      <c r="F1519" s="156">
        <v>277890.19</v>
      </c>
      <c r="G1519" s="131">
        <f t="shared" si="121"/>
        <v>49797.922048</v>
      </c>
      <c r="H1519" s="156">
        <v>1441.18</v>
      </c>
      <c r="I1519" s="156">
        <v>0</v>
      </c>
      <c r="J1519" s="156">
        <v>0</v>
      </c>
      <c r="K1519" s="131">
        <f t="shared" si="122"/>
        <v>1441.18</v>
      </c>
      <c r="L1519" s="134">
        <v>0.1792</v>
      </c>
    </row>
    <row r="1520" spans="3:12">
      <c r="C1520" s="161">
        <f t="shared" si="120"/>
        <v>2017</v>
      </c>
      <c r="D1520" s="35" t="s">
        <v>283</v>
      </c>
      <c r="E1520" s="227">
        <v>42948</v>
      </c>
      <c r="F1520" s="156">
        <v>298891.78000000003</v>
      </c>
      <c r="G1520" s="131">
        <f t="shared" si="121"/>
        <v>53561.406976000006</v>
      </c>
      <c r="H1520" s="156">
        <v>1438.84</v>
      </c>
      <c r="I1520" s="156">
        <v>0</v>
      </c>
      <c r="J1520" s="156">
        <v>0</v>
      </c>
      <c r="K1520" s="131">
        <f t="shared" si="122"/>
        <v>1438.84</v>
      </c>
      <c r="L1520" s="134">
        <v>0.1792</v>
      </c>
    </row>
    <row r="1521" spans="3:12">
      <c r="C1521" s="161">
        <f t="shared" si="120"/>
        <v>2017</v>
      </c>
      <c r="D1521" s="35" t="s">
        <v>283</v>
      </c>
      <c r="E1521" s="227">
        <v>42979</v>
      </c>
      <c r="F1521" s="156">
        <v>336248.51</v>
      </c>
      <c r="G1521" s="131">
        <f t="shared" si="121"/>
        <v>60255.732991999997</v>
      </c>
      <c r="H1521" s="156">
        <v>2036.53</v>
      </c>
      <c r="I1521" s="156">
        <v>0</v>
      </c>
      <c r="J1521" s="156">
        <v>0</v>
      </c>
      <c r="K1521" s="131">
        <f t="shared" si="122"/>
        <v>2036.53</v>
      </c>
      <c r="L1521" s="134">
        <v>0.1792</v>
      </c>
    </row>
    <row r="1522" spans="3:12">
      <c r="C1522" s="161">
        <f t="shared" si="120"/>
        <v>2017</v>
      </c>
      <c r="D1522" s="35" t="s">
        <v>283</v>
      </c>
      <c r="E1522" s="227">
        <v>43009</v>
      </c>
      <c r="F1522" s="156">
        <v>298453.94</v>
      </c>
      <c r="G1522" s="131">
        <f t="shared" si="121"/>
        <v>53482.946047999998</v>
      </c>
      <c r="H1522" s="156">
        <v>756.6</v>
      </c>
      <c r="I1522" s="156">
        <v>0</v>
      </c>
      <c r="J1522" s="156">
        <v>0</v>
      </c>
      <c r="K1522" s="131">
        <f t="shared" si="122"/>
        <v>756.6</v>
      </c>
      <c r="L1522" s="134">
        <v>0.1792</v>
      </c>
    </row>
    <row r="1523" spans="3:12">
      <c r="C1523" s="161">
        <f t="shared" si="120"/>
        <v>2017</v>
      </c>
      <c r="D1523" s="35" t="s">
        <v>283</v>
      </c>
      <c r="E1523" s="227">
        <v>43040</v>
      </c>
      <c r="F1523" s="156">
        <v>292146.39</v>
      </c>
      <c r="G1523" s="131">
        <f t="shared" si="121"/>
        <v>52352.633088000002</v>
      </c>
      <c r="H1523" s="156">
        <v>210928.01</v>
      </c>
      <c r="I1523" s="156">
        <v>0</v>
      </c>
      <c r="J1523" s="156">
        <v>0</v>
      </c>
      <c r="K1523" s="131">
        <f t="shared" si="122"/>
        <v>210928.01</v>
      </c>
      <c r="L1523" s="134">
        <v>0.1792</v>
      </c>
    </row>
    <row r="1524" spans="3:12">
      <c r="C1524" s="161">
        <f t="shared" si="120"/>
        <v>2017</v>
      </c>
      <c r="D1524" s="35" t="s">
        <v>283</v>
      </c>
      <c r="E1524" s="227">
        <v>43070</v>
      </c>
      <c r="F1524" s="156">
        <v>297243.96999999997</v>
      </c>
      <c r="G1524" s="131">
        <f t="shared" si="121"/>
        <v>53266.119423999997</v>
      </c>
      <c r="H1524" s="156">
        <v>952.39</v>
      </c>
      <c r="I1524" s="156">
        <v>0</v>
      </c>
      <c r="J1524" s="156">
        <v>0</v>
      </c>
      <c r="K1524" s="131">
        <f t="shared" si="122"/>
        <v>952.39</v>
      </c>
      <c r="L1524" s="134">
        <v>0.1792</v>
      </c>
    </row>
    <row r="1525" spans="3:12">
      <c r="C1525" s="161">
        <f t="shared" si="120"/>
        <v>2018</v>
      </c>
      <c r="D1525" s="35" t="s">
        <v>283</v>
      </c>
      <c r="E1525" s="227">
        <v>43101</v>
      </c>
      <c r="F1525" s="156">
        <v>286722.71999999997</v>
      </c>
      <c r="G1525" s="131">
        <f t="shared" si="121"/>
        <v>51380.711423999994</v>
      </c>
      <c r="H1525" s="156">
        <v>647.88</v>
      </c>
      <c r="I1525" s="156">
        <v>0</v>
      </c>
      <c r="J1525" s="156">
        <v>0</v>
      </c>
      <c r="K1525" s="131">
        <f t="shared" si="122"/>
        <v>647.88</v>
      </c>
      <c r="L1525" s="134">
        <v>0.1792</v>
      </c>
    </row>
    <row r="1526" spans="3:12">
      <c r="C1526" s="161">
        <f t="shared" si="120"/>
        <v>2018</v>
      </c>
      <c r="D1526" s="35" t="s">
        <v>283</v>
      </c>
      <c r="E1526" s="227">
        <v>43132</v>
      </c>
      <c r="F1526" s="156">
        <v>299839.83</v>
      </c>
      <c r="G1526" s="131">
        <f t="shared" si="121"/>
        <v>53731.297536000005</v>
      </c>
      <c r="H1526" s="156">
        <v>1376.66</v>
      </c>
      <c r="I1526" s="156">
        <v>0</v>
      </c>
      <c r="J1526" s="156">
        <v>0</v>
      </c>
      <c r="K1526" s="131">
        <f t="shared" si="122"/>
        <v>1376.66</v>
      </c>
      <c r="L1526" s="134">
        <v>0.1792</v>
      </c>
    </row>
    <row r="1527" spans="3:12">
      <c r="C1527" s="161">
        <f t="shared" si="120"/>
        <v>2018</v>
      </c>
      <c r="D1527" s="35" t="s">
        <v>283</v>
      </c>
      <c r="E1527" s="227">
        <v>43160</v>
      </c>
      <c r="F1527" s="156">
        <v>280316.32</v>
      </c>
      <c r="G1527" s="131">
        <f t="shared" si="121"/>
        <v>50232.684544000003</v>
      </c>
      <c r="H1527" s="156">
        <v>17820.099999999999</v>
      </c>
      <c r="I1527" s="156">
        <v>0</v>
      </c>
      <c r="J1527" s="156">
        <v>0</v>
      </c>
      <c r="K1527" s="131">
        <f t="shared" si="122"/>
        <v>17820.099999999999</v>
      </c>
      <c r="L1527" s="134">
        <v>0.1792</v>
      </c>
    </row>
    <row r="1528" spans="3:12">
      <c r="C1528" s="161">
        <f t="shared" si="120"/>
        <v>2018</v>
      </c>
      <c r="D1528" s="35" t="s">
        <v>283</v>
      </c>
      <c r="E1528" s="227">
        <v>43191</v>
      </c>
      <c r="F1528" s="156">
        <v>291959.82</v>
      </c>
      <c r="G1528" s="131">
        <f t="shared" si="121"/>
        <v>52319.199743999998</v>
      </c>
      <c r="H1528" s="156">
        <v>44351.01</v>
      </c>
      <c r="I1528" s="156">
        <v>0</v>
      </c>
      <c r="J1528" s="156">
        <v>0</v>
      </c>
      <c r="K1528" s="131">
        <f t="shared" si="122"/>
        <v>44351.01</v>
      </c>
      <c r="L1528" s="134">
        <v>0.1792</v>
      </c>
    </row>
    <row r="1529" spans="3:12">
      <c r="C1529" s="161">
        <f t="shared" si="120"/>
        <v>2018</v>
      </c>
      <c r="D1529" s="35" t="s">
        <v>283</v>
      </c>
      <c r="E1529" s="227">
        <v>43221</v>
      </c>
      <c r="F1529" s="156">
        <v>306829.17</v>
      </c>
      <c r="G1529" s="131">
        <f t="shared" si="121"/>
        <v>54983.787263999999</v>
      </c>
      <c r="H1529" s="156">
        <v>785.94</v>
      </c>
      <c r="I1529" s="156">
        <v>0</v>
      </c>
      <c r="J1529" s="156">
        <v>0</v>
      </c>
      <c r="K1529" s="131">
        <f t="shared" si="122"/>
        <v>785.94</v>
      </c>
      <c r="L1529" s="134">
        <v>0.1792</v>
      </c>
    </row>
    <row r="1530" spans="3:12">
      <c r="C1530" s="161">
        <f t="shared" si="120"/>
        <v>2018</v>
      </c>
      <c r="D1530" s="35" t="s">
        <v>283</v>
      </c>
      <c r="E1530" s="227">
        <v>43252</v>
      </c>
      <c r="F1530" s="156">
        <v>273911.77</v>
      </c>
      <c r="G1530" s="131">
        <f t="shared" si="121"/>
        <v>49084.989184000005</v>
      </c>
      <c r="H1530" s="156">
        <v>23030.15</v>
      </c>
      <c r="I1530" s="156">
        <v>0</v>
      </c>
      <c r="J1530" s="156">
        <v>0</v>
      </c>
      <c r="K1530" s="131">
        <f t="shared" si="122"/>
        <v>23030.15</v>
      </c>
      <c r="L1530" s="134">
        <v>0.1792</v>
      </c>
    </row>
    <row r="1531" spans="3:12">
      <c r="C1531" s="161">
        <f t="shared" si="120"/>
        <v>2018</v>
      </c>
      <c r="D1531" s="35" t="s">
        <v>283</v>
      </c>
      <c r="E1531" s="227">
        <v>43282</v>
      </c>
      <c r="F1531" s="156">
        <v>289052.64</v>
      </c>
      <c r="G1531" s="131">
        <f t="shared" si="121"/>
        <v>51798.233088000001</v>
      </c>
      <c r="H1531" s="156">
        <v>167147.49</v>
      </c>
      <c r="I1531" s="156">
        <v>0</v>
      </c>
      <c r="J1531" s="156">
        <v>0</v>
      </c>
      <c r="K1531" s="131">
        <f t="shared" si="122"/>
        <v>167147.49</v>
      </c>
      <c r="L1531" s="134">
        <v>0.1792</v>
      </c>
    </row>
    <row r="1532" spans="3:12">
      <c r="C1532" s="161">
        <f t="shared" si="120"/>
        <v>2018</v>
      </c>
      <c r="D1532" s="35" t="s">
        <v>283</v>
      </c>
      <c r="E1532" s="227">
        <v>43313</v>
      </c>
      <c r="F1532" s="156">
        <v>284819.71000000002</v>
      </c>
      <c r="G1532" s="131">
        <f t="shared" si="121"/>
        <v>51039.692032000006</v>
      </c>
      <c r="H1532" s="156">
        <v>638.85</v>
      </c>
      <c r="I1532" s="156">
        <v>0</v>
      </c>
      <c r="J1532" s="156">
        <v>0</v>
      </c>
      <c r="K1532" s="131">
        <f t="shared" si="122"/>
        <v>638.85</v>
      </c>
      <c r="L1532" s="134">
        <v>0.1792</v>
      </c>
    </row>
    <row r="1533" spans="3:12">
      <c r="C1533" s="161">
        <f t="shared" si="120"/>
        <v>2018</v>
      </c>
      <c r="D1533" s="35" t="s">
        <v>283</v>
      </c>
      <c r="E1533" s="227">
        <v>43344</v>
      </c>
      <c r="F1533" s="156">
        <v>288479.08</v>
      </c>
      <c r="G1533" s="131">
        <f t="shared" si="121"/>
        <v>51695.451136000003</v>
      </c>
      <c r="H1533" s="156">
        <v>46076.51</v>
      </c>
      <c r="I1533" s="156">
        <v>0</v>
      </c>
      <c r="J1533" s="156">
        <v>0</v>
      </c>
      <c r="K1533" s="131">
        <f t="shared" si="122"/>
        <v>46076.51</v>
      </c>
      <c r="L1533" s="134">
        <v>0.1792</v>
      </c>
    </row>
    <row r="1534" spans="3:12">
      <c r="C1534" s="161">
        <f t="shared" si="120"/>
        <v>2018</v>
      </c>
      <c r="D1534" s="35" t="s">
        <v>283</v>
      </c>
      <c r="E1534" s="227">
        <v>43374</v>
      </c>
      <c r="F1534" s="156">
        <v>292157.21999999997</v>
      </c>
      <c r="G1534" s="131">
        <f t="shared" si="121"/>
        <v>52354.573823999992</v>
      </c>
      <c r="H1534" s="156">
        <v>718.83</v>
      </c>
      <c r="I1534" s="156">
        <v>0</v>
      </c>
      <c r="J1534" s="156">
        <v>0</v>
      </c>
      <c r="K1534" s="131">
        <f t="shared" si="122"/>
        <v>718.83</v>
      </c>
      <c r="L1534" s="134">
        <v>0.1792</v>
      </c>
    </row>
    <row r="1535" spans="3:12">
      <c r="C1535" s="161">
        <f t="shared" si="120"/>
        <v>2018</v>
      </c>
      <c r="D1535" s="35" t="s">
        <v>283</v>
      </c>
      <c r="E1535" s="227">
        <v>43405</v>
      </c>
      <c r="F1535" s="156">
        <v>309917.738625</v>
      </c>
      <c r="G1535" s="131">
        <f t="shared" si="121"/>
        <v>55537.258761600002</v>
      </c>
      <c r="H1535" s="156">
        <v>9469.32</v>
      </c>
      <c r="I1535" s="156">
        <v>0</v>
      </c>
      <c r="J1535" s="156">
        <v>43222.5</v>
      </c>
      <c r="K1535" s="131">
        <f t="shared" si="122"/>
        <v>52691.82</v>
      </c>
      <c r="L1535" s="134">
        <v>0.1792</v>
      </c>
    </row>
    <row r="1536" spans="3:12">
      <c r="C1536" s="161">
        <f t="shared" si="120"/>
        <v>2018</v>
      </c>
      <c r="D1536" s="35" t="s">
        <v>283</v>
      </c>
      <c r="E1536" s="227">
        <v>43435</v>
      </c>
      <c r="F1536" s="156">
        <v>325548.53999999998</v>
      </c>
      <c r="G1536" s="131">
        <f t="shared" si="121"/>
        <v>58338.298367999996</v>
      </c>
      <c r="H1536" s="156">
        <v>929.11</v>
      </c>
      <c r="I1536" s="156">
        <v>38034.61</v>
      </c>
      <c r="J1536" s="156" t="s">
        <v>267</v>
      </c>
      <c r="K1536" s="131">
        <f t="shared" si="122"/>
        <v>38963.72</v>
      </c>
      <c r="L1536" s="134">
        <v>0.1792</v>
      </c>
    </row>
    <row r="1537" spans="3:12">
      <c r="C1537" s="161">
        <f t="shared" si="120"/>
        <v>2019</v>
      </c>
      <c r="D1537" s="35" t="s">
        <v>283</v>
      </c>
      <c r="E1537" s="227">
        <v>43466</v>
      </c>
      <c r="F1537" s="156">
        <v>340741.39</v>
      </c>
      <c r="G1537" s="131">
        <f t="shared" si="121"/>
        <v>61060.857088000004</v>
      </c>
      <c r="H1537" s="156">
        <v>521.26</v>
      </c>
      <c r="I1537" s="156">
        <v>0</v>
      </c>
      <c r="J1537" s="156">
        <v>0</v>
      </c>
      <c r="K1537" s="131">
        <f t="shared" si="122"/>
        <v>521.26</v>
      </c>
      <c r="L1537" s="134">
        <v>0.1792</v>
      </c>
    </row>
    <row r="1538" spans="3:12">
      <c r="C1538" s="161">
        <f t="shared" si="120"/>
        <v>2019</v>
      </c>
      <c r="D1538" s="35" t="s">
        <v>283</v>
      </c>
      <c r="E1538" s="227">
        <v>43497</v>
      </c>
      <c r="F1538" s="156">
        <v>320417.57</v>
      </c>
      <c r="G1538" s="131">
        <f t="shared" si="121"/>
        <v>57418.828544000004</v>
      </c>
      <c r="H1538" s="156">
        <v>1697.67</v>
      </c>
      <c r="I1538" s="156">
        <v>43378.39</v>
      </c>
      <c r="J1538" s="156">
        <v>0</v>
      </c>
      <c r="K1538" s="131">
        <f t="shared" si="122"/>
        <v>45076.06</v>
      </c>
      <c r="L1538" s="134">
        <v>0.1792</v>
      </c>
    </row>
    <row r="1539" spans="3:12">
      <c r="C1539" s="161">
        <f t="shared" si="120"/>
        <v>2019</v>
      </c>
      <c r="D1539" s="35" t="s">
        <v>283</v>
      </c>
      <c r="E1539" s="227">
        <v>43525</v>
      </c>
      <c r="F1539" s="156">
        <v>273240.98</v>
      </c>
      <c r="G1539" s="131">
        <f t="shared" si="121"/>
        <v>48964.783615999993</v>
      </c>
      <c r="H1539" s="156">
        <v>364.82</v>
      </c>
      <c r="I1539" s="156">
        <v>54251.199999999997</v>
      </c>
      <c r="J1539" s="156">
        <v>0</v>
      </c>
      <c r="K1539" s="131">
        <f t="shared" si="122"/>
        <v>54616.02</v>
      </c>
      <c r="L1539" s="134">
        <v>0.1792</v>
      </c>
    </row>
    <row r="1540" spans="3:12">
      <c r="C1540" s="161">
        <f t="shared" ref="C1540:C1603" si="123">YEAR(E1540)</f>
        <v>2019</v>
      </c>
      <c r="D1540" s="35" t="s">
        <v>283</v>
      </c>
      <c r="E1540" s="227">
        <v>43556</v>
      </c>
      <c r="F1540" s="156">
        <v>310285.89</v>
      </c>
      <c r="G1540" s="131">
        <f t="shared" ref="G1540:G1603" si="124">F1540*L1540</f>
        <v>55603.231488000005</v>
      </c>
      <c r="H1540" s="156">
        <v>18099.7</v>
      </c>
      <c r="I1540" s="156">
        <v>23733.68</v>
      </c>
      <c r="J1540" s="156">
        <v>0</v>
      </c>
      <c r="K1540" s="131">
        <f t="shared" ref="K1540:K1603" si="125">SUM(H1540:J1540)</f>
        <v>41833.380000000005</v>
      </c>
      <c r="L1540" s="134">
        <v>0.1792</v>
      </c>
    </row>
    <row r="1541" spans="3:12">
      <c r="C1541" s="161">
        <f t="shared" si="123"/>
        <v>2019</v>
      </c>
      <c r="D1541" s="35" t="s">
        <v>283</v>
      </c>
      <c r="E1541" s="227">
        <v>43586</v>
      </c>
      <c r="F1541" s="156">
        <v>288321.23</v>
      </c>
      <c r="G1541" s="131">
        <f t="shared" si="124"/>
        <v>51667.164416</v>
      </c>
      <c r="H1541" s="156">
        <v>2149.38</v>
      </c>
      <c r="I1541" s="156">
        <v>56558.97</v>
      </c>
      <c r="J1541" s="156">
        <v>0</v>
      </c>
      <c r="K1541" s="131">
        <f t="shared" si="125"/>
        <v>58708.35</v>
      </c>
      <c r="L1541" s="134">
        <v>0.1792</v>
      </c>
    </row>
    <row r="1542" spans="3:12">
      <c r="C1542" s="161">
        <f t="shared" si="123"/>
        <v>2019</v>
      </c>
      <c r="D1542" s="35" t="s">
        <v>283</v>
      </c>
      <c r="E1542" s="227">
        <v>43617</v>
      </c>
      <c r="F1542" s="156">
        <v>286667.89</v>
      </c>
      <c r="G1542" s="131">
        <f t="shared" si="124"/>
        <v>51370.885888000004</v>
      </c>
      <c r="H1542" s="156">
        <v>9602.07</v>
      </c>
      <c r="I1542" s="156">
        <v>174123.92</v>
      </c>
      <c r="J1542" s="156">
        <v>0</v>
      </c>
      <c r="K1542" s="131">
        <f t="shared" si="125"/>
        <v>183725.99000000002</v>
      </c>
      <c r="L1542" s="134">
        <v>0.1792</v>
      </c>
    </row>
    <row r="1543" spans="3:12">
      <c r="C1543" s="161">
        <f t="shared" si="123"/>
        <v>2019</v>
      </c>
      <c r="D1543" s="35" t="s">
        <v>283</v>
      </c>
      <c r="E1543" s="227">
        <v>43647</v>
      </c>
      <c r="F1543" s="156">
        <v>295712.39</v>
      </c>
      <c r="G1543" s="131">
        <f t="shared" si="124"/>
        <v>52991.660287999999</v>
      </c>
      <c r="H1543" s="156">
        <v>1342.46</v>
      </c>
      <c r="I1543" s="156">
        <v>165040.15</v>
      </c>
      <c r="J1543" s="156">
        <v>0</v>
      </c>
      <c r="K1543" s="131">
        <f t="shared" si="125"/>
        <v>166382.60999999999</v>
      </c>
      <c r="L1543" s="134">
        <v>0.1792</v>
      </c>
    </row>
    <row r="1544" spans="3:12">
      <c r="C1544" s="161">
        <f t="shared" si="123"/>
        <v>2019</v>
      </c>
      <c r="D1544" s="35" t="s">
        <v>283</v>
      </c>
      <c r="E1544" s="227">
        <v>43678</v>
      </c>
      <c r="F1544" s="156">
        <v>318339.51</v>
      </c>
      <c r="G1544" s="131">
        <f t="shared" si="124"/>
        <v>57046.440192000002</v>
      </c>
      <c r="H1544" s="156">
        <v>275.44</v>
      </c>
      <c r="I1544" s="156">
        <v>0</v>
      </c>
      <c r="J1544" s="156">
        <v>0</v>
      </c>
      <c r="K1544" s="131">
        <f t="shared" si="125"/>
        <v>275.44</v>
      </c>
      <c r="L1544" s="134">
        <v>0.1792</v>
      </c>
    </row>
    <row r="1545" spans="3:12">
      <c r="C1545" s="161">
        <f t="shared" si="123"/>
        <v>2019</v>
      </c>
      <c r="D1545" s="35" t="s">
        <v>283</v>
      </c>
      <c r="E1545" s="227">
        <v>43709</v>
      </c>
      <c r="F1545" s="156">
        <v>357491.22</v>
      </c>
      <c r="G1545" s="131">
        <f t="shared" si="124"/>
        <v>64062.426623999992</v>
      </c>
      <c r="H1545" s="156">
        <v>3731.19</v>
      </c>
      <c r="I1545" s="156">
        <v>0</v>
      </c>
      <c r="J1545" s="156">
        <v>160800</v>
      </c>
      <c r="K1545" s="131">
        <f t="shared" si="125"/>
        <v>164531.19</v>
      </c>
      <c r="L1545" s="134">
        <v>0.1792</v>
      </c>
    </row>
    <row r="1546" spans="3:12">
      <c r="C1546" s="161">
        <f t="shared" si="123"/>
        <v>2019</v>
      </c>
      <c r="D1546" s="35" t="s">
        <v>283</v>
      </c>
      <c r="E1546" s="227">
        <v>43739</v>
      </c>
      <c r="F1546" s="156">
        <v>338201.64</v>
      </c>
      <c r="G1546" s="131">
        <f t="shared" si="124"/>
        <v>60605.733888000002</v>
      </c>
      <c r="H1546" s="156">
        <v>1023.54</v>
      </c>
      <c r="I1546" s="156">
        <v>0</v>
      </c>
      <c r="J1546" s="156">
        <v>152535.73000000001</v>
      </c>
      <c r="K1546" s="131">
        <f t="shared" si="125"/>
        <v>153559.27000000002</v>
      </c>
      <c r="L1546" s="134">
        <v>0.1792</v>
      </c>
    </row>
    <row r="1547" spans="3:12">
      <c r="C1547" s="161">
        <f t="shared" si="123"/>
        <v>2019</v>
      </c>
      <c r="D1547" s="35" t="s">
        <v>283</v>
      </c>
      <c r="E1547" s="227">
        <v>43770</v>
      </c>
      <c r="F1547" s="156">
        <v>360947.22</v>
      </c>
      <c r="G1547" s="131">
        <f t="shared" si="124"/>
        <v>64681.741823999997</v>
      </c>
      <c r="H1547" s="156">
        <v>1290.2</v>
      </c>
      <c r="I1547" s="156">
        <v>0</v>
      </c>
      <c r="J1547" s="156">
        <v>0</v>
      </c>
      <c r="K1547" s="131">
        <f t="shared" si="125"/>
        <v>1290.2</v>
      </c>
      <c r="L1547" s="134">
        <v>0.1792</v>
      </c>
    </row>
    <row r="1548" spans="3:12">
      <c r="C1548" s="161">
        <f t="shared" si="123"/>
        <v>2019</v>
      </c>
      <c r="D1548" s="35" t="s">
        <v>283</v>
      </c>
      <c r="E1548" s="227">
        <v>43800</v>
      </c>
      <c r="F1548" s="156">
        <v>318070.2</v>
      </c>
      <c r="G1548" s="131">
        <f t="shared" si="124"/>
        <v>56998.179840000004</v>
      </c>
      <c r="H1548" s="156">
        <v>148.54</v>
      </c>
      <c r="I1548" s="156">
        <v>0</v>
      </c>
      <c r="J1548" s="156">
        <v>0</v>
      </c>
      <c r="K1548" s="131">
        <f t="shared" si="125"/>
        <v>148.54</v>
      </c>
      <c r="L1548" s="134">
        <v>0.1792</v>
      </c>
    </row>
    <row r="1549" spans="3:12">
      <c r="C1549" s="161">
        <f t="shared" si="123"/>
        <v>2020</v>
      </c>
      <c r="D1549" s="35" t="s">
        <v>283</v>
      </c>
      <c r="E1549" s="227">
        <v>43831</v>
      </c>
      <c r="F1549" s="156">
        <v>344341.68</v>
      </c>
      <c r="G1549" s="131">
        <f t="shared" si="124"/>
        <v>61706.029055999999</v>
      </c>
      <c r="H1549" s="156">
        <v>1646.92</v>
      </c>
      <c r="I1549" s="156">
        <v>0</v>
      </c>
      <c r="J1549" s="156">
        <v>0</v>
      </c>
      <c r="K1549" s="131">
        <f t="shared" si="125"/>
        <v>1646.92</v>
      </c>
      <c r="L1549" s="134">
        <v>0.1792</v>
      </c>
    </row>
    <row r="1550" spans="3:12">
      <c r="C1550" s="161">
        <f t="shared" si="123"/>
        <v>2020</v>
      </c>
      <c r="D1550" s="35" t="s">
        <v>283</v>
      </c>
      <c r="E1550" s="227">
        <v>43862</v>
      </c>
      <c r="F1550" s="156">
        <v>325185.17</v>
      </c>
      <c r="G1550" s="131">
        <f t="shared" si="124"/>
        <v>58273.182463999998</v>
      </c>
      <c r="H1550" s="156">
        <v>0</v>
      </c>
      <c r="I1550" s="156">
        <v>0</v>
      </c>
      <c r="J1550" s="156">
        <v>0</v>
      </c>
      <c r="K1550" s="131">
        <f t="shared" si="125"/>
        <v>0</v>
      </c>
      <c r="L1550" s="134">
        <v>0.1792</v>
      </c>
    </row>
    <row r="1551" spans="3:12">
      <c r="C1551" s="161">
        <f t="shared" si="123"/>
        <v>2020</v>
      </c>
      <c r="D1551" s="35" t="s">
        <v>283</v>
      </c>
      <c r="E1551" s="227">
        <v>43891</v>
      </c>
      <c r="F1551" s="156">
        <v>326188.20630000002</v>
      </c>
      <c r="G1551" s="131">
        <f t="shared" si="124"/>
        <v>58452.92656896</v>
      </c>
      <c r="H1551" s="156">
        <v>4766.54</v>
      </c>
      <c r="I1551" s="156">
        <v>0</v>
      </c>
      <c r="J1551" s="156">
        <v>1061.5899999999999</v>
      </c>
      <c r="K1551" s="131">
        <f t="shared" si="125"/>
        <v>5828.13</v>
      </c>
      <c r="L1551" s="134">
        <v>0.1792</v>
      </c>
    </row>
    <row r="1552" spans="3:12">
      <c r="C1552" s="161">
        <f t="shared" si="123"/>
        <v>2020</v>
      </c>
      <c r="D1552" s="35" t="s">
        <v>283</v>
      </c>
      <c r="E1552" s="227">
        <v>43922</v>
      </c>
      <c r="F1552" s="156">
        <v>335193.03840000002</v>
      </c>
      <c r="G1552" s="131">
        <f t="shared" si="124"/>
        <v>60066.59248128</v>
      </c>
      <c r="H1552" s="156">
        <v>637.76</v>
      </c>
      <c r="I1552" s="156">
        <v>1127.74</v>
      </c>
      <c r="J1552" s="156">
        <v>0</v>
      </c>
      <c r="K1552" s="131">
        <f t="shared" si="125"/>
        <v>1765.5</v>
      </c>
      <c r="L1552" s="134">
        <v>0.1792</v>
      </c>
    </row>
    <row r="1553" spans="3:12">
      <c r="C1553" s="161">
        <f t="shared" si="123"/>
        <v>2020</v>
      </c>
      <c r="D1553" s="35" t="s">
        <v>283</v>
      </c>
      <c r="E1553" s="227">
        <v>43952</v>
      </c>
      <c r="F1553" s="156">
        <v>318599.46999999997</v>
      </c>
      <c r="G1553" s="131">
        <f t="shared" si="124"/>
        <v>57093.025023999995</v>
      </c>
      <c r="H1553" s="156">
        <v>835.48</v>
      </c>
      <c r="I1553" s="156">
        <v>0</v>
      </c>
      <c r="J1553" s="156">
        <v>0</v>
      </c>
      <c r="K1553" s="131">
        <f t="shared" si="125"/>
        <v>835.48</v>
      </c>
      <c r="L1553" s="134">
        <v>0.1792</v>
      </c>
    </row>
    <row r="1554" spans="3:12">
      <c r="C1554" s="161">
        <f t="shared" si="123"/>
        <v>2020</v>
      </c>
      <c r="D1554" s="35" t="s">
        <v>283</v>
      </c>
      <c r="E1554" s="227">
        <v>43983</v>
      </c>
      <c r="F1554" s="156">
        <v>303225.65999999997</v>
      </c>
      <c r="G1554" s="131">
        <f t="shared" si="124"/>
        <v>54338.038271999998</v>
      </c>
      <c r="H1554" s="156">
        <v>1146.8599999999999</v>
      </c>
      <c r="I1554" s="156">
        <v>0</v>
      </c>
      <c r="J1554" s="156">
        <v>0</v>
      </c>
      <c r="K1554" s="131">
        <f t="shared" si="125"/>
        <v>1146.8599999999999</v>
      </c>
      <c r="L1554" s="134">
        <v>0.1792</v>
      </c>
    </row>
    <row r="1555" spans="3:12">
      <c r="C1555" s="161">
        <f t="shared" si="123"/>
        <v>2020</v>
      </c>
      <c r="D1555" s="35" t="s">
        <v>283</v>
      </c>
      <c r="E1555" s="227">
        <v>44013</v>
      </c>
      <c r="F1555" s="156">
        <v>305738.14</v>
      </c>
      <c r="G1555" s="131">
        <f t="shared" si="124"/>
        <v>54788.274688000005</v>
      </c>
      <c r="H1555" s="156">
        <v>4003.37</v>
      </c>
      <c r="I1555" s="156" t="s">
        <v>267</v>
      </c>
      <c r="J1555" s="156">
        <v>663.7</v>
      </c>
      <c r="K1555" s="131">
        <f t="shared" si="125"/>
        <v>4667.07</v>
      </c>
      <c r="L1555" s="134">
        <v>0.1792</v>
      </c>
    </row>
    <row r="1556" spans="3:12">
      <c r="C1556" s="161">
        <f t="shared" si="123"/>
        <v>2020</v>
      </c>
      <c r="D1556" s="35" t="s">
        <v>283</v>
      </c>
      <c r="E1556" s="227">
        <v>44044</v>
      </c>
      <c r="F1556" s="156">
        <v>328781.18</v>
      </c>
      <c r="G1556" s="131">
        <f t="shared" si="124"/>
        <v>58917.587456000001</v>
      </c>
      <c r="H1556" s="156">
        <v>2779.43</v>
      </c>
      <c r="I1556" s="156">
        <v>0</v>
      </c>
      <c r="J1556" s="156">
        <v>0</v>
      </c>
      <c r="K1556" s="131">
        <f t="shared" si="125"/>
        <v>2779.43</v>
      </c>
      <c r="L1556" s="134">
        <v>0.1792</v>
      </c>
    </row>
    <row r="1557" spans="3:12">
      <c r="C1557" s="161">
        <f t="shared" si="123"/>
        <v>2020</v>
      </c>
      <c r="D1557" s="35" t="s">
        <v>283</v>
      </c>
      <c r="E1557" s="227">
        <v>44075</v>
      </c>
      <c r="F1557" s="156">
        <v>350937.61</v>
      </c>
      <c r="G1557" s="131">
        <f t="shared" si="124"/>
        <v>62888.019711999994</v>
      </c>
      <c r="H1557" s="156">
        <v>0</v>
      </c>
      <c r="I1557" s="156">
        <v>0</v>
      </c>
      <c r="J1557" s="156">
        <v>0</v>
      </c>
      <c r="K1557" s="131">
        <f t="shared" si="125"/>
        <v>0</v>
      </c>
      <c r="L1557" s="134">
        <v>0.1792</v>
      </c>
    </row>
    <row r="1558" spans="3:12">
      <c r="C1558" s="161">
        <f t="shared" si="123"/>
        <v>2020</v>
      </c>
      <c r="D1558" s="35" t="s">
        <v>283</v>
      </c>
      <c r="E1558" s="227">
        <v>44105</v>
      </c>
      <c r="F1558" s="156">
        <v>382751.23</v>
      </c>
      <c r="G1558" s="131">
        <f t="shared" si="124"/>
        <v>68589.020415999999</v>
      </c>
      <c r="H1558" s="156">
        <v>20905.13</v>
      </c>
      <c r="I1558" s="156">
        <v>0</v>
      </c>
      <c r="J1558" s="156">
        <v>0</v>
      </c>
      <c r="K1558" s="131">
        <f t="shared" si="125"/>
        <v>20905.13</v>
      </c>
      <c r="L1558" s="134">
        <v>0.1792</v>
      </c>
    </row>
    <row r="1559" spans="3:12">
      <c r="C1559" s="161">
        <f t="shared" si="123"/>
        <v>2020</v>
      </c>
      <c r="D1559" s="35" t="s">
        <v>283</v>
      </c>
      <c r="E1559" s="227">
        <v>44136</v>
      </c>
      <c r="F1559" s="156">
        <v>342065.38</v>
      </c>
      <c r="G1559" s="131">
        <f t="shared" si="124"/>
        <v>61298.116095999998</v>
      </c>
      <c r="H1559" s="156">
        <v>2149.44</v>
      </c>
      <c r="I1559" s="156">
        <v>348774.08</v>
      </c>
      <c r="J1559" s="156">
        <v>0</v>
      </c>
      <c r="K1559" s="131">
        <f t="shared" si="125"/>
        <v>350923.52000000002</v>
      </c>
      <c r="L1559" s="134">
        <v>0.1792</v>
      </c>
    </row>
    <row r="1560" spans="3:12">
      <c r="C1560" s="161">
        <f t="shared" si="123"/>
        <v>2020</v>
      </c>
      <c r="D1560" s="35" t="s">
        <v>283</v>
      </c>
      <c r="E1560" s="227">
        <v>44166</v>
      </c>
      <c r="F1560" s="156">
        <v>351741.71</v>
      </c>
      <c r="G1560" s="131">
        <f t="shared" si="124"/>
        <v>63032.114432000002</v>
      </c>
      <c r="H1560" s="156">
        <v>1589.45</v>
      </c>
      <c r="I1560" s="156">
        <v>330398.13</v>
      </c>
      <c r="J1560" s="156">
        <v>0</v>
      </c>
      <c r="K1560" s="131">
        <f t="shared" si="125"/>
        <v>331987.58</v>
      </c>
      <c r="L1560" s="134">
        <v>0.1792</v>
      </c>
    </row>
    <row r="1561" spans="3:12">
      <c r="C1561" s="161">
        <f t="shared" si="123"/>
        <v>2021</v>
      </c>
      <c r="D1561" s="35" t="s">
        <v>283</v>
      </c>
      <c r="E1561" s="227">
        <v>44197</v>
      </c>
      <c r="F1561" s="156">
        <v>365663.78</v>
      </c>
      <c r="G1561" s="131">
        <f t="shared" si="124"/>
        <v>65526.949376000004</v>
      </c>
      <c r="H1561" s="156">
        <v>967.45</v>
      </c>
      <c r="I1561" s="156">
        <v>0</v>
      </c>
      <c r="J1561" s="156">
        <v>0</v>
      </c>
      <c r="K1561" s="131">
        <f t="shared" si="125"/>
        <v>967.45</v>
      </c>
      <c r="L1561" s="134">
        <v>0.1792</v>
      </c>
    </row>
    <row r="1562" spans="3:12">
      <c r="C1562" s="161">
        <f t="shared" si="123"/>
        <v>2021</v>
      </c>
      <c r="D1562" s="35" t="s">
        <v>283</v>
      </c>
      <c r="E1562" s="227">
        <v>44229</v>
      </c>
      <c r="F1562" s="156">
        <v>337392.22</v>
      </c>
      <c r="G1562" s="131">
        <f t="shared" si="124"/>
        <v>60460.685823999993</v>
      </c>
      <c r="H1562" s="156">
        <v>187750.2</v>
      </c>
      <c r="I1562" s="156">
        <v>192187.42</v>
      </c>
      <c r="J1562" s="156">
        <v>0</v>
      </c>
      <c r="K1562" s="131">
        <f t="shared" si="125"/>
        <v>379937.62</v>
      </c>
      <c r="L1562" s="134">
        <v>0.1792</v>
      </c>
    </row>
    <row r="1563" spans="3:12">
      <c r="C1563" s="161">
        <f t="shared" si="123"/>
        <v>2021</v>
      </c>
      <c r="D1563" s="35" t="s">
        <v>283</v>
      </c>
      <c r="E1563" s="227">
        <v>44258</v>
      </c>
      <c r="F1563" s="156">
        <v>323536.78000000003</v>
      </c>
      <c r="G1563" s="131">
        <f t="shared" si="124"/>
        <v>57977.790976000004</v>
      </c>
      <c r="H1563" s="156">
        <v>794.1</v>
      </c>
      <c r="I1563" s="156">
        <v>105679.25</v>
      </c>
      <c r="J1563" s="156">
        <v>0</v>
      </c>
      <c r="K1563" s="131">
        <f t="shared" si="125"/>
        <v>106473.35</v>
      </c>
      <c r="L1563" s="134">
        <v>0.1792</v>
      </c>
    </row>
    <row r="1564" spans="3:12">
      <c r="C1564" s="161">
        <f t="shared" si="123"/>
        <v>2021</v>
      </c>
      <c r="D1564" s="35" t="s">
        <v>283</v>
      </c>
      <c r="E1564" s="227">
        <v>44290</v>
      </c>
      <c r="F1564" s="156">
        <v>366455</v>
      </c>
      <c r="G1564" s="131">
        <f t="shared" si="124"/>
        <v>65668.736000000004</v>
      </c>
      <c r="H1564" s="156">
        <v>0</v>
      </c>
      <c r="I1564" s="156">
        <v>156584.57</v>
      </c>
      <c r="J1564" s="156">
        <v>0</v>
      </c>
      <c r="K1564" s="131">
        <f t="shared" si="125"/>
        <v>156584.57</v>
      </c>
      <c r="L1564" s="134">
        <v>0.1792</v>
      </c>
    </row>
    <row r="1565" spans="3:12">
      <c r="C1565" s="161">
        <f t="shared" si="123"/>
        <v>2021</v>
      </c>
      <c r="D1565" s="35" t="s">
        <v>283</v>
      </c>
      <c r="E1565" s="227">
        <v>44321</v>
      </c>
      <c r="F1565" s="156">
        <v>345901.75</v>
      </c>
      <c r="G1565" s="131">
        <f t="shared" si="124"/>
        <v>61985.5936</v>
      </c>
      <c r="H1565" s="156">
        <v>2792.87</v>
      </c>
      <c r="I1565" s="156">
        <v>224022.6</v>
      </c>
      <c r="J1565" s="156">
        <v>0</v>
      </c>
      <c r="K1565" s="131">
        <f t="shared" si="125"/>
        <v>226815.47</v>
      </c>
      <c r="L1565" s="134">
        <v>0.1792</v>
      </c>
    </row>
    <row r="1566" spans="3:12">
      <c r="C1566" s="161">
        <f t="shared" si="123"/>
        <v>2021</v>
      </c>
      <c r="D1566" s="35" t="s">
        <v>283</v>
      </c>
      <c r="E1566" s="227">
        <v>44353</v>
      </c>
      <c r="F1566" s="156">
        <v>323853.78000000003</v>
      </c>
      <c r="G1566" s="131">
        <f t="shared" si="124"/>
        <v>58034.597376000005</v>
      </c>
      <c r="H1566" s="156">
        <v>570.72</v>
      </c>
      <c r="I1566" s="156">
        <v>0</v>
      </c>
      <c r="J1566" s="156">
        <v>0</v>
      </c>
      <c r="K1566" s="131">
        <f t="shared" si="125"/>
        <v>570.72</v>
      </c>
      <c r="L1566" s="134">
        <v>0.1792</v>
      </c>
    </row>
    <row r="1567" spans="3:12">
      <c r="C1567" s="161">
        <f t="shared" si="123"/>
        <v>2015</v>
      </c>
      <c r="D1567" s="35" t="s">
        <v>284</v>
      </c>
      <c r="E1567" s="227">
        <v>42309</v>
      </c>
      <c r="F1567" s="156">
        <v>128171.16</v>
      </c>
      <c r="G1567" s="131">
        <f t="shared" si="124"/>
        <v>22968.271872000001</v>
      </c>
      <c r="H1567" s="156">
        <v>618.72</v>
      </c>
      <c r="I1567" s="156">
        <v>0</v>
      </c>
      <c r="J1567" s="156">
        <v>0</v>
      </c>
      <c r="K1567" s="131">
        <f t="shared" si="125"/>
        <v>618.72</v>
      </c>
      <c r="L1567" s="134">
        <v>0.1792</v>
      </c>
    </row>
    <row r="1568" spans="3:12">
      <c r="C1568" s="161">
        <f t="shared" si="123"/>
        <v>2015</v>
      </c>
      <c r="D1568" s="35" t="s">
        <v>284</v>
      </c>
      <c r="E1568" s="227">
        <v>42339</v>
      </c>
      <c r="F1568" s="156">
        <v>113255.5</v>
      </c>
      <c r="G1568" s="131">
        <f t="shared" si="124"/>
        <v>20295.385600000001</v>
      </c>
      <c r="H1568" s="156">
        <v>552.58000000000004</v>
      </c>
      <c r="I1568" s="156">
        <v>0</v>
      </c>
      <c r="J1568" s="156">
        <v>0</v>
      </c>
      <c r="K1568" s="131">
        <f t="shared" si="125"/>
        <v>552.58000000000004</v>
      </c>
      <c r="L1568" s="134">
        <v>0.1792</v>
      </c>
    </row>
    <row r="1569" spans="3:12">
      <c r="C1569" s="161">
        <f t="shared" si="123"/>
        <v>2016</v>
      </c>
      <c r="D1569" s="35" t="s">
        <v>284</v>
      </c>
      <c r="E1569" s="227">
        <v>42370</v>
      </c>
      <c r="F1569" s="156">
        <v>117237.68</v>
      </c>
      <c r="G1569" s="131">
        <f t="shared" si="124"/>
        <v>21008.992255999998</v>
      </c>
      <c r="H1569" s="156">
        <v>3521.91</v>
      </c>
      <c r="I1569" s="156">
        <v>0</v>
      </c>
      <c r="J1569" s="156">
        <v>0</v>
      </c>
      <c r="K1569" s="131">
        <f t="shared" si="125"/>
        <v>3521.91</v>
      </c>
      <c r="L1569" s="134">
        <v>0.1792</v>
      </c>
    </row>
    <row r="1570" spans="3:12">
      <c r="C1570" s="161">
        <f t="shared" si="123"/>
        <v>2016</v>
      </c>
      <c r="D1570" s="35" t="s">
        <v>284</v>
      </c>
      <c r="E1570" s="227">
        <v>42401</v>
      </c>
      <c r="F1570" s="156">
        <v>115661.13</v>
      </c>
      <c r="G1570" s="131">
        <f t="shared" si="124"/>
        <v>20726.474495999999</v>
      </c>
      <c r="H1570" s="156">
        <v>1872.25</v>
      </c>
      <c r="I1570" s="156">
        <v>0</v>
      </c>
      <c r="J1570" s="156">
        <v>0</v>
      </c>
      <c r="K1570" s="131">
        <f t="shared" si="125"/>
        <v>1872.25</v>
      </c>
      <c r="L1570" s="134">
        <v>0.1792</v>
      </c>
    </row>
    <row r="1571" spans="3:12">
      <c r="C1571" s="161">
        <f t="shared" si="123"/>
        <v>2016</v>
      </c>
      <c r="D1571" s="35" t="s">
        <v>284</v>
      </c>
      <c r="E1571" s="227">
        <v>42430</v>
      </c>
      <c r="F1571" s="156">
        <v>108993.52</v>
      </c>
      <c r="G1571" s="131">
        <f t="shared" si="124"/>
        <v>19531.638783999999</v>
      </c>
      <c r="H1571" s="156">
        <v>2722.12</v>
      </c>
      <c r="I1571" s="156">
        <v>0</v>
      </c>
      <c r="J1571" s="156">
        <v>0</v>
      </c>
      <c r="K1571" s="131">
        <f t="shared" si="125"/>
        <v>2722.12</v>
      </c>
      <c r="L1571" s="134">
        <v>0.1792</v>
      </c>
    </row>
    <row r="1572" spans="3:12">
      <c r="C1572" s="161">
        <f t="shared" si="123"/>
        <v>2016</v>
      </c>
      <c r="D1572" s="35" t="s">
        <v>284</v>
      </c>
      <c r="E1572" s="227">
        <v>42461</v>
      </c>
      <c r="F1572" s="156">
        <v>121087.75</v>
      </c>
      <c r="G1572" s="131">
        <f t="shared" si="124"/>
        <v>21698.924800000001</v>
      </c>
      <c r="H1572" s="156">
        <v>4603.1099999999997</v>
      </c>
      <c r="I1572" s="156">
        <v>0</v>
      </c>
      <c r="J1572" s="156">
        <v>0</v>
      </c>
      <c r="K1572" s="131">
        <f t="shared" si="125"/>
        <v>4603.1099999999997</v>
      </c>
      <c r="L1572" s="134">
        <v>0.1792</v>
      </c>
    </row>
    <row r="1573" spans="3:12">
      <c r="C1573" s="161">
        <f t="shared" si="123"/>
        <v>2016</v>
      </c>
      <c r="D1573" s="35" t="s">
        <v>284</v>
      </c>
      <c r="E1573" s="227">
        <v>42491</v>
      </c>
      <c r="F1573" s="156">
        <v>110816.75</v>
      </c>
      <c r="G1573" s="131">
        <f t="shared" si="124"/>
        <v>19858.3616</v>
      </c>
      <c r="H1573" s="156">
        <v>465.63</v>
      </c>
      <c r="I1573" s="156">
        <v>0</v>
      </c>
      <c r="J1573" s="156">
        <v>0</v>
      </c>
      <c r="K1573" s="131">
        <f t="shared" si="125"/>
        <v>465.63</v>
      </c>
      <c r="L1573" s="134">
        <v>0.1792</v>
      </c>
    </row>
    <row r="1574" spans="3:12">
      <c r="C1574" s="161">
        <f t="shared" si="123"/>
        <v>2016</v>
      </c>
      <c r="D1574" s="35" t="s">
        <v>284</v>
      </c>
      <c r="E1574" s="227">
        <v>42522</v>
      </c>
      <c r="F1574" s="156">
        <v>105871.17</v>
      </c>
      <c r="G1574" s="131">
        <f t="shared" si="124"/>
        <v>18972.113664</v>
      </c>
      <c r="H1574" s="156">
        <v>0</v>
      </c>
      <c r="I1574" s="156">
        <v>0</v>
      </c>
      <c r="J1574" s="156">
        <v>0</v>
      </c>
      <c r="K1574" s="131">
        <f t="shared" si="125"/>
        <v>0</v>
      </c>
      <c r="L1574" s="134">
        <v>0.1792</v>
      </c>
    </row>
    <row r="1575" spans="3:12">
      <c r="C1575" s="161">
        <f t="shared" si="123"/>
        <v>2016</v>
      </c>
      <c r="D1575" s="35" t="s">
        <v>284</v>
      </c>
      <c r="E1575" s="227">
        <v>42552</v>
      </c>
      <c r="F1575" s="156">
        <v>122725.14</v>
      </c>
      <c r="G1575" s="131">
        <f t="shared" si="124"/>
        <v>21992.345087999998</v>
      </c>
      <c r="H1575" s="156">
        <v>21152.54</v>
      </c>
      <c r="I1575" s="156">
        <v>0</v>
      </c>
      <c r="J1575" s="156">
        <v>0</v>
      </c>
      <c r="K1575" s="131">
        <f t="shared" si="125"/>
        <v>21152.54</v>
      </c>
      <c r="L1575" s="134">
        <v>0.1792</v>
      </c>
    </row>
    <row r="1576" spans="3:12">
      <c r="C1576" s="161">
        <f t="shared" si="123"/>
        <v>2016</v>
      </c>
      <c r="D1576" s="35" t="s">
        <v>284</v>
      </c>
      <c r="E1576" s="227">
        <v>42583</v>
      </c>
      <c r="F1576" s="156">
        <v>128623.72</v>
      </c>
      <c r="G1576" s="131">
        <f t="shared" si="124"/>
        <v>23049.370623999999</v>
      </c>
      <c r="H1576" s="156">
        <v>5072.13</v>
      </c>
      <c r="I1576" s="156">
        <v>0</v>
      </c>
      <c r="J1576" s="156">
        <v>3980</v>
      </c>
      <c r="K1576" s="131">
        <f t="shared" si="125"/>
        <v>9052.130000000001</v>
      </c>
      <c r="L1576" s="134">
        <v>0.1792</v>
      </c>
    </row>
    <row r="1577" spans="3:12">
      <c r="C1577" s="161">
        <f t="shared" si="123"/>
        <v>2016</v>
      </c>
      <c r="D1577" s="35" t="s">
        <v>284</v>
      </c>
      <c r="E1577" s="227">
        <v>42614</v>
      </c>
      <c r="F1577" s="156">
        <v>126567.18</v>
      </c>
      <c r="G1577" s="131">
        <f t="shared" si="124"/>
        <v>22680.838656</v>
      </c>
      <c r="H1577" s="156">
        <v>638.59</v>
      </c>
      <c r="I1577" s="156">
        <v>0</v>
      </c>
      <c r="J1577" s="156">
        <v>0</v>
      </c>
      <c r="K1577" s="131">
        <f t="shared" si="125"/>
        <v>638.59</v>
      </c>
      <c r="L1577" s="134">
        <v>0.1792</v>
      </c>
    </row>
    <row r="1578" spans="3:12">
      <c r="C1578" s="161">
        <f t="shared" si="123"/>
        <v>2016</v>
      </c>
      <c r="D1578" s="35" t="s">
        <v>284</v>
      </c>
      <c r="E1578" s="227">
        <v>42644</v>
      </c>
      <c r="F1578" s="156">
        <v>143505.07999999999</v>
      </c>
      <c r="G1578" s="131">
        <f t="shared" si="124"/>
        <v>25716.110335999998</v>
      </c>
      <c r="H1578" s="156">
        <v>1857.22</v>
      </c>
      <c r="I1578" s="156">
        <v>0</v>
      </c>
      <c r="J1578" s="156">
        <v>0</v>
      </c>
      <c r="K1578" s="131">
        <f t="shared" si="125"/>
        <v>1857.22</v>
      </c>
      <c r="L1578" s="134">
        <v>0.1792</v>
      </c>
    </row>
    <row r="1579" spans="3:12">
      <c r="C1579" s="161">
        <f t="shared" si="123"/>
        <v>2016</v>
      </c>
      <c r="D1579" s="35" t="s">
        <v>284</v>
      </c>
      <c r="E1579" s="227">
        <v>42675</v>
      </c>
      <c r="F1579" s="156">
        <v>140142.09</v>
      </c>
      <c r="G1579" s="131">
        <f t="shared" si="124"/>
        <v>25113.462528</v>
      </c>
      <c r="H1579" s="156">
        <v>1380.45</v>
      </c>
      <c r="I1579" s="156">
        <v>0</v>
      </c>
      <c r="J1579" s="156">
        <v>0</v>
      </c>
      <c r="K1579" s="131">
        <f t="shared" si="125"/>
        <v>1380.45</v>
      </c>
      <c r="L1579" s="134">
        <v>0.1792</v>
      </c>
    </row>
    <row r="1580" spans="3:12">
      <c r="C1580" s="161">
        <f t="shared" si="123"/>
        <v>2016</v>
      </c>
      <c r="D1580" s="35" t="s">
        <v>284</v>
      </c>
      <c r="E1580" s="227">
        <v>42705</v>
      </c>
      <c r="F1580" s="156">
        <v>134626.68</v>
      </c>
      <c r="G1580" s="131">
        <f t="shared" si="124"/>
        <v>24125.101056</v>
      </c>
      <c r="H1580" s="156">
        <v>1039.92</v>
      </c>
      <c r="I1580" s="156">
        <v>0</v>
      </c>
      <c r="J1580" s="156">
        <v>0</v>
      </c>
      <c r="K1580" s="131">
        <f t="shared" si="125"/>
        <v>1039.92</v>
      </c>
      <c r="L1580" s="134">
        <v>0.1792</v>
      </c>
    </row>
    <row r="1581" spans="3:12">
      <c r="C1581" s="161">
        <f t="shared" si="123"/>
        <v>2017</v>
      </c>
      <c r="D1581" s="35" t="s">
        <v>284</v>
      </c>
      <c r="E1581" s="227">
        <v>42736</v>
      </c>
      <c r="F1581" s="156">
        <v>141494.26</v>
      </c>
      <c r="G1581" s="131">
        <f t="shared" si="124"/>
        <v>25355.771392000002</v>
      </c>
      <c r="H1581" s="156">
        <v>1267.3699999999999</v>
      </c>
      <c r="I1581" s="156">
        <v>0</v>
      </c>
      <c r="J1581" s="156">
        <v>695.66</v>
      </c>
      <c r="K1581" s="131">
        <f t="shared" si="125"/>
        <v>1963.0299999999997</v>
      </c>
      <c r="L1581" s="134">
        <v>0.1792</v>
      </c>
    </row>
    <row r="1582" spans="3:12">
      <c r="C1582" s="161">
        <f t="shared" si="123"/>
        <v>2017</v>
      </c>
      <c r="D1582" s="35" t="s">
        <v>284</v>
      </c>
      <c r="E1582" s="227">
        <v>42767</v>
      </c>
      <c r="F1582" s="156">
        <v>140657.99</v>
      </c>
      <c r="G1582" s="131">
        <f t="shared" si="124"/>
        <v>25205.911807999997</v>
      </c>
      <c r="H1582" s="156">
        <v>2569.9899999999998</v>
      </c>
      <c r="I1582" s="156">
        <v>0</v>
      </c>
      <c r="J1582" s="156">
        <v>0</v>
      </c>
      <c r="K1582" s="131">
        <f t="shared" si="125"/>
        <v>2569.9899999999998</v>
      </c>
      <c r="L1582" s="134">
        <v>0.1792</v>
      </c>
    </row>
    <row r="1583" spans="3:12">
      <c r="C1583" s="161">
        <f t="shared" si="123"/>
        <v>2017</v>
      </c>
      <c r="D1583" s="35" t="s">
        <v>284</v>
      </c>
      <c r="E1583" s="227">
        <v>42795</v>
      </c>
      <c r="F1583" s="156">
        <v>125862.25</v>
      </c>
      <c r="G1583" s="131">
        <f t="shared" si="124"/>
        <v>22554.515199999998</v>
      </c>
      <c r="H1583" s="156">
        <v>0</v>
      </c>
      <c r="I1583" s="156">
        <v>0</v>
      </c>
      <c r="J1583" s="156">
        <v>266</v>
      </c>
      <c r="K1583" s="131">
        <f t="shared" si="125"/>
        <v>266</v>
      </c>
      <c r="L1583" s="134">
        <v>0.1792</v>
      </c>
    </row>
    <row r="1584" spans="3:12">
      <c r="C1584" s="161">
        <f t="shared" si="123"/>
        <v>2017</v>
      </c>
      <c r="D1584" s="35" t="s">
        <v>284</v>
      </c>
      <c r="E1584" s="227">
        <v>42826</v>
      </c>
      <c r="F1584" s="156">
        <v>138786.53</v>
      </c>
      <c r="G1584" s="131">
        <f t="shared" si="124"/>
        <v>24870.546176</v>
      </c>
      <c r="H1584" s="156">
        <v>1147.83</v>
      </c>
      <c r="I1584" s="156">
        <v>0</v>
      </c>
      <c r="J1584" s="156">
        <v>0</v>
      </c>
      <c r="K1584" s="131">
        <f t="shared" si="125"/>
        <v>1147.83</v>
      </c>
      <c r="L1584" s="134">
        <v>0.1792</v>
      </c>
    </row>
    <row r="1585" spans="3:12">
      <c r="C1585" s="161">
        <f t="shared" si="123"/>
        <v>2017</v>
      </c>
      <c r="D1585" s="35" t="s">
        <v>284</v>
      </c>
      <c r="E1585" s="227">
        <v>42856</v>
      </c>
      <c r="F1585" s="156">
        <v>126576.68</v>
      </c>
      <c r="G1585" s="131">
        <f t="shared" si="124"/>
        <v>22682.541055999998</v>
      </c>
      <c r="H1585" s="156">
        <v>1030.47</v>
      </c>
      <c r="I1585" s="156">
        <v>0</v>
      </c>
      <c r="J1585" s="156">
        <v>0</v>
      </c>
      <c r="K1585" s="131">
        <f t="shared" si="125"/>
        <v>1030.47</v>
      </c>
      <c r="L1585" s="134">
        <v>0.1792</v>
      </c>
    </row>
    <row r="1586" spans="3:12">
      <c r="C1586" s="161">
        <f t="shared" si="123"/>
        <v>2017</v>
      </c>
      <c r="D1586" s="35" t="s">
        <v>284</v>
      </c>
      <c r="E1586" s="227">
        <v>42887</v>
      </c>
      <c r="F1586" s="156">
        <v>126057.93</v>
      </c>
      <c r="G1586" s="131">
        <f t="shared" si="124"/>
        <v>22589.581055999999</v>
      </c>
      <c r="H1586" s="156">
        <v>4301.7700000000004</v>
      </c>
      <c r="I1586" s="156">
        <v>0</v>
      </c>
      <c r="J1586" s="156">
        <v>0</v>
      </c>
      <c r="K1586" s="131">
        <f t="shared" si="125"/>
        <v>4301.7700000000004</v>
      </c>
      <c r="L1586" s="134">
        <v>0.1792</v>
      </c>
    </row>
    <row r="1587" spans="3:12">
      <c r="C1587" s="161">
        <f t="shared" si="123"/>
        <v>2017</v>
      </c>
      <c r="D1587" s="35" t="s">
        <v>284</v>
      </c>
      <c r="E1587" s="227">
        <v>42917</v>
      </c>
      <c r="F1587" s="156">
        <v>137761.13</v>
      </c>
      <c r="G1587" s="131">
        <f t="shared" si="124"/>
        <v>24686.794496000002</v>
      </c>
      <c r="H1587" s="156">
        <v>898.75</v>
      </c>
      <c r="I1587" s="156">
        <v>0</v>
      </c>
      <c r="J1587" s="156">
        <v>8853.16</v>
      </c>
      <c r="K1587" s="131">
        <f t="shared" si="125"/>
        <v>9751.91</v>
      </c>
      <c r="L1587" s="134">
        <v>0.1792</v>
      </c>
    </row>
    <row r="1588" spans="3:12">
      <c r="C1588" s="161">
        <f t="shared" si="123"/>
        <v>2017</v>
      </c>
      <c r="D1588" s="35" t="s">
        <v>284</v>
      </c>
      <c r="E1588" s="227">
        <v>42948</v>
      </c>
      <c r="F1588" s="156">
        <v>146159.76</v>
      </c>
      <c r="G1588" s="131">
        <f t="shared" si="124"/>
        <v>26191.828992000002</v>
      </c>
      <c r="H1588" s="156">
        <v>1021.97</v>
      </c>
      <c r="I1588" s="156">
        <v>0</v>
      </c>
      <c r="J1588" s="156">
        <v>0</v>
      </c>
      <c r="K1588" s="131">
        <f t="shared" si="125"/>
        <v>1021.97</v>
      </c>
      <c r="L1588" s="134">
        <v>0.1792</v>
      </c>
    </row>
    <row r="1589" spans="3:12">
      <c r="C1589" s="161">
        <f t="shared" si="123"/>
        <v>2017</v>
      </c>
      <c r="D1589" s="35" t="s">
        <v>284</v>
      </c>
      <c r="E1589" s="227">
        <v>42979</v>
      </c>
      <c r="F1589" s="156">
        <v>167489.25</v>
      </c>
      <c r="G1589" s="131">
        <f t="shared" si="124"/>
        <v>30014.0736</v>
      </c>
      <c r="H1589" s="156">
        <v>743.01</v>
      </c>
      <c r="I1589" s="156">
        <v>0</v>
      </c>
      <c r="J1589" s="156">
        <v>0</v>
      </c>
      <c r="K1589" s="131">
        <f t="shared" si="125"/>
        <v>743.01</v>
      </c>
      <c r="L1589" s="134">
        <v>0.1792</v>
      </c>
    </row>
    <row r="1590" spans="3:12">
      <c r="C1590" s="161">
        <f t="shared" si="123"/>
        <v>2017</v>
      </c>
      <c r="D1590" s="35" t="s">
        <v>284</v>
      </c>
      <c r="E1590" s="227">
        <v>43009</v>
      </c>
      <c r="F1590" s="156">
        <v>149736.25</v>
      </c>
      <c r="G1590" s="131">
        <f t="shared" si="124"/>
        <v>26832.736000000001</v>
      </c>
      <c r="H1590" s="156">
        <v>808.42</v>
      </c>
      <c r="I1590" s="156">
        <v>0</v>
      </c>
      <c r="J1590" s="156">
        <v>0</v>
      </c>
      <c r="K1590" s="131">
        <f t="shared" si="125"/>
        <v>808.42</v>
      </c>
      <c r="L1590" s="134">
        <v>0.1792</v>
      </c>
    </row>
    <row r="1591" spans="3:12">
      <c r="C1591" s="161">
        <f t="shared" si="123"/>
        <v>2017</v>
      </c>
      <c r="D1591" s="35" t="s">
        <v>284</v>
      </c>
      <c r="E1591" s="227">
        <v>43040</v>
      </c>
      <c r="F1591" s="156">
        <v>149707.96</v>
      </c>
      <c r="G1591" s="131">
        <f t="shared" si="124"/>
        <v>26827.666431999998</v>
      </c>
      <c r="H1591" s="156">
        <v>0</v>
      </c>
      <c r="I1591" s="156">
        <v>0</v>
      </c>
      <c r="J1591" s="156">
        <v>0</v>
      </c>
      <c r="K1591" s="131">
        <f t="shared" si="125"/>
        <v>0</v>
      </c>
      <c r="L1591" s="134">
        <v>0.1792</v>
      </c>
    </row>
    <row r="1592" spans="3:12">
      <c r="C1592" s="161">
        <f t="shared" si="123"/>
        <v>2017</v>
      </c>
      <c r="D1592" s="35" t="s">
        <v>284</v>
      </c>
      <c r="E1592" s="227">
        <v>43070</v>
      </c>
      <c r="F1592" s="156">
        <v>145187.49</v>
      </c>
      <c r="G1592" s="131">
        <f t="shared" si="124"/>
        <v>26017.598207999999</v>
      </c>
      <c r="H1592" s="156">
        <v>188.5</v>
      </c>
      <c r="I1592" s="156">
        <v>0</v>
      </c>
      <c r="J1592" s="156">
        <v>0</v>
      </c>
      <c r="K1592" s="131">
        <f t="shared" si="125"/>
        <v>188.5</v>
      </c>
      <c r="L1592" s="134">
        <v>0.1792</v>
      </c>
    </row>
    <row r="1593" spans="3:12">
      <c r="C1593" s="161">
        <f t="shared" si="123"/>
        <v>2018</v>
      </c>
      <c r="D1593" s="35" t="s">
        <v>284</v>
      </c>
      <c r="E1593" s="227">
        <v>43101</v>
      </c>
      <c r="F1593" s="156">
        <v>143030.39999999999</v>
      </c>
      <c r="G1593" s="131">
        <f t="shared" si="124"/>
        <v>25631.04768</v>
      </c>
      <c r="H1593" s="156">
        <v>566.03</v>
      </c>
      <c r="I1593" s="156">
        <v>130881.67</v>
      </c>
      <c r="J1593" s="156">
        <v>0</v>
      </c>
      <c r="K1593" s="131">
        <f t="shared" si="125"/>
        <v>131447.70000000001</v>
      </c>
      <c r="L1593" s="134">
        <v>0.1792</v>
      </c>
    </row>
    <row r="1594" spans="3:12">
      <c r="C1594" s="161">
        <f t="shared" si="123"/>
        <v>2018</v>
      </c>
      <c r="D1594" s="35" t="s">
        <v>284</v>
      </c>
      <c r="E1594" s="227">
        <v>43132</v>
      </c>
      <c r="F1594" s="156">
        <v>151903.57</v>
      </c>
      <c r="G1594" s="131">
        <f t="shared" si="124"/>
        <v>27221.119744</v>
      </c>
      <c r="H1594" s="156">
        <v>905.51</v>
      </c>
      <c r="I1594" s="156">
        <v>0</v>
      </c>
      <c r="J1594" s="156">
        <v>0</v>
      </c>
      <c r="K1594" s="131">
        <f t="shared" si="125"/>
        <v>905.51</v>
      </c>
      <c r="L1594" s="134">
        <v>0.1792</v>
      </c>
    </row>
    <row r="1595" spans="3:12">
      <c r="C1595" s="161">
        <f t="shared" si="123"/>
        <v>2018</v>
      </c>
      <c r="D1595" s="35" t="s">
        <v>284</v>
      </c>
      <c r="E1595" s="227">
        <v>43160</v>
      </c>
      <c r="F1595" s="156">
        <v>154450.9</v>
      </c>
      <c r="G1595" s="131">
        <f t="shared" si="124"/>
        <v>27677.601279999999</v>
      </c>
      <c r="H1595" s="156">
        <v>1551.66</v>
      </c>
      <c r="I1595" s="156">
        <v>196322.5</v>
      </c>
      <c r="J1595" s="156">
        <v>0</v>
      </c>
      <c r="K1595" s="131">
        <f t="shared" si="125"/>
        <v>197874.16</v>
      </c>
      <c r="L1595" s="134">
        <v>0.1792</v>
      </c>
    </row>
    <row r="1596" spans="3:12">
      <c r="C1596" s="161">
        <f t="shared" si="123"/>
        <v>2018</v>
      </c>
      <c r="D1596" s="35" t="s">
        <v>284</v>
      </c>
      <c r="E1596" s="227">
        <v>43191</v>
      </c>
      <c r="F1596" s="156">
        <v>145224.65</v>
      </c>
      <c r="G1596" s="131">
        <f t="shared" si="124"/>
        <v>26024.257279999998</v>
      </c>
      <c r="H1596" s="156">
        <v>567.73</v>
      </c>
      <c r="I1596" s="156">
        <v>0</v>
      </c>
      <c r="J1596" s="156">
        <v>0</v>
      </c>
      <c r="K1596" s="131">
        <f t="shared" si="125"/>
        <v>567.73</v>
      </c>
      <c r="L1596" s="134">
        <v>0.1792</v>
      </c>
    </row>
    <row r="1597" spans="3:12">
      <c r="C1597" s="161">
        <f t="shared" si="123"/>
        <v>2018</v>
      </c>
      <c r="D1597" s="35" t="s">
        <v>284</v>
      </c>
      <c r="E1597" s="227">
        <v>43221</v>
      </c>
      <c r="F1597" s="156">
        <v>150089.38</v>
      </c>
      <c r="G1597" s="131">
        <f t="shared" si="124"/>
        <v>26896.016896000001</v>
      </c>
      <c r="H1597" s="156">
        <v>0</v>
      </c>
      <c r="I1597" s="156">
        <v>0</v>
      </c>
      <c r="J1597" s="156">
        <v>0</v>
      </c>
      <c r="K1597" s="131">
        <f t="shared" si="125"/>
        <v>0</v>
      </c>
      <c r="L1597" s="134">
        <v>0.1792</v>
      </c>
    </row>
    <row r="1598" spans="3:12">
      <c r="C1598" s="161">
        <f t="shared" si="123"/>
        <v>2018</v>
      </c>
      <c r="D1598" s="35" t="s">
        <v>284</v>
      </c>
      <c r="E1598" s="227">
        <v>43252</v>
      </c>
      <c r="F1598" s="156">
        <v>137289.26999999999</v>
      </c>
      <c r="G1598" s="131">
        <f t="shared" si="124"/>
        <v>24602.237183999998</v>
      </c>
      <c r="H1598" s="156">
        <v>2854.56</v>
      </c>
      <c r="I1598" s="156">
        <v>0</v>
      </c>
      <c r="J1598" s="156">
        <v>0</v>
      </c>
      <c r="K1598" s="131">
        <f t="shared" si="125"/>
        <v>2854.56</v>
      </c>
      <c r="L1598" s="134">
        <v>0.1792</v>
      </c>
    </row>
    <row r="1599" spans="3:12">
      <c r="C1599" s="161">
        <f t="shared" si="123"/>
        <v>2018</v>
      </c>
      <c r="D1599" s="35" t="s">
        <v>284</v>
      </c>
      <c r="E1599" s="227">
        <v>43282</v>
      </c>
      <c r="F1599" s="156">
        <v>153943.01</v>
      </c>
      <c r="G1599" s="131">
        <f t="shared" si="124"/>
        <v>27586.587392000001</v>
      </c>
      <c r="H1599" s="156">
        <v>931.25</v>
      </c>
      <c r="I1599" s="156">
        <v>123393.49</v>
      </c>
      <c r="J1599" s="156">
        <v>0</v>
      </c>
      <c r="K1599" s="131">
        <f t="shared" si="125"/>
        <v>124324.74</v>
      </c>
      <c r="L1599" s="134">
        <v>0.1792</v>
      </c>
    </row>
    <row r="1600" spans="3:12">
      <c r="C1600" s="161">
        <f t="shared" si="123"/>
        <v>2018</v>
      </c>
      <c r="D1600" s="35" t="s">
        <v>284</v>
      </c>
      <c r="E1600" s="227">
        <v>43313</v>
      </c>
      <c r="F1600" s="156">
        <v>141112.69</v>
      </c>
      <c r="G1600" s="131">
        <f t="shared" si="124"/>
        <v>25287.394048000002</v>
      </c>
      <c r="H1600" s="156">
        <v>196.52</v>
      </c>
      <c r="I1600" s="156">
        <v>27367.360000000001</v>
      </c>
      <c r="J1600" s="156">
        <v>0</v>
      </c>
      <c r="K1600" s="131">
        <f t="shared" si="125"/>
        <v>27563.88</v>
      </c>
      <c r="L1600" s="134">
        <v>0.1792</v>
      </c>
    </row>
    <row r="1601" spans="3:12">
      <c r="C1601" s="161">
        <f t="shared" si="123"/>
        <v>2018</v>
      </c>
      <c r="D1601" s="35" t="s">
        <v>284</v>
      </c>
      <c r="E1601" s="227">
        <v>43344</v>
      </c>
      <c r="F1601" s="156">
        <v>160557.37</v>
      </c>
      <c r="G1601" s="131">
        <f t="shared" si="124"/>
        <v>28771.880703999999</v>
      </c>
      <c r="H1601" s="156">
        <v>294.45999999999998</v>
      </c>
      <c r="I1601" s="156">
        <v>0</v>
      </c>
      <c r="J1601" s="156">
        <v>0</v>
      </c>
      <c r="K1601" s="131">
        <f t="shared" si="125"/>
        <v>294.45999999999998</v>
      </c>
      <c r="L1601" s="134">
        <v>0.1792</v>
      </c>
    </row>
    <row r="1602" spans="3:12">
      <c r="C1602" s="161">
        <f t="shared" si="123"/>
        <v>2018</v>
      </c>
      <c r="D1602" s="35" t="s">
        <v>284</v>
      </c>
      <c r="E1602" s="227">
        <v>43374</v>
      </c>
      <c r="F1602" s="156">
        <v>160367.82999999999</v>
      </c>
      <c r="G1602" s="131">
        <f t="shared" si="124"/>
        <v>28737.915135999996</v>
      </c>
      <c r="H1602" s="156">
        <v>551.80999999999995</v>
      </c>
      <c r="I1602" s="156">
        <v>32546.33</v>
      </c>
      <c r="J1602" s="156">
        <v>0</v>
      </c>
      <c r="K1602" s="131">
        <f t="shared" si="125"/>
        <v>33098.14</v>
      </c>
      <c r="L1602" s="134">
        <v>0.1792</v>
      </c>
    </row>
    <row r="1603" spans="3:12">
      <c r="C1603" s="161">
        <f t="shared" si="123"/>
        <v>2018</v>
      </c>
      <c r="D1603" s="35" t="s">
        <v>284</v>
      </c>
      <c r="E1603" s="227">
        <v>43405</v>
      </c>
      <c r="F1603" s="156">
        <v>165630.85605</v>
      </c>
      <c r="G1603" s="131">
        <f t="shared" si="124"/>
        <v>29681.04940416</v>
      </c>
      <c r="H1603" s="156">
        <v>371.33</v>
      </c>
      <c r="I1603" s="156">
        <v>221346.98</v>
      </c>
      <c r="J1603" s="156">
        <v>43222.5</v>
      </c>
      <c r="K1603" s="131">
        <f t="shared" si="125"/>
        <v>264940.81</v>
      </c>
      <c r="L1603" s="134">
        <v>0.1792</v>
      </c>
    </row>
    <row r="1604" spans="3:12">
      <c r="C1604" s="161">
        <f t="shared" ref="C1604:C1667" si="126">YEAR(E1604)</f>
        <v>2018</v>
      </c>
      <c r="D1604" s="35" t="s">
        <v>284</v>
      </c>
      <c r="E1604" s="227">
        <v>43435</v>
      </c>
      <c r="F1604" s="156">
        <v>157874.97</v>
      </c>
      <c r="G1604" s="131">
        <f t="shared" ref="G1604:G1667" si="127">F1604*L1604</f>
        <v>28291.194624</v>
      </c>
      <c r="H1604" s="156">
        <v>528.05999999999995</v>
      </c>
      <c r="I1604" s="156">
        <v>45847.48</v>
      </c>
      <c r="J1604" s="156">
        <v>0</v>
      </c>
      <c r="K1604" s="131">
        <f t="shared" ref="K1604:K1667" si="128">SUM(H1604:J1604)</f>
        <v>46375.54</v>
      </c>
      <c r="L1604" s="134">
        <v>0.1792</v>
      </c>
    </row>
    <row r="1605" spans="3:12">
      <c r="C1605" s="161">
        <f t="shared" si="126"/>
        <v>2019</v>
      </c>
      <c r="D1605" s="35" t="s">
        <v>284</v>
      </c>
      <c r="E1605" s="227">
        <v>43466</v>
      </c>
      <c r="F1605" s="156">
        <v>159624.56</v>
      </c>
      <c r="G1605" s="131">
        <f t="shared" si="127"/>
        <v>28604.721151999998</v>
      </c>
      <c r="H1605" s="156">
        <v>279.29000000000002</v>
      </c>
      <c r="I1605" s="156">
        <v>0</v>
      </c>
      <c r="J1605" s="156">
        <v>0</v>
      </c>
      <c r="K1605" s="131">
        <f t="shared" si="128"/>
        <v>279.29000000000002</v>
      </c>
      <c r="L1605" s="134">
        <v>0.1792</v>
      </c>
    </row>
    <row r="1606" spans="3:12">
      <c r="C1606" s="161">
        <f t="shared" si="126"/>
        <v>2019</v>
      </c>
      <c r="D1606" s="35" t="s">
        <v>284</v>
      </c>
      <c r="E1606" s="227">
        <v>43497</v>
      </c>
      <c r="F1606" s="156">
        <v>162475.19</v>
      </c>
      <c r="G1606" s="131">
        <f t="shared" si="127"/>
        <v>29115.554048000002</v>
      </c>
      <c r="H1606" s="156">
        <v>1058.94</v>
      </c>
      <c r="I1606" s="156">
        <v>254922.56</v>
      </c>
      <c r="J1606" s="156">
        <v>0</v>
      </c>
      <c r="K1606" s="131">
        <f t="shared" si="128"/>
        <v>255981.5</v>
      </c>
      <c r="L1606" s="134">
        <v>0.1792</v>
      </c>
    </row>
    <row r="1607" spans="3:12">
      <c r="C1607" s="161">
        <f t="shared" si="126"/>
        <v>2019</v>
      </c>
      <c r="D1607" s="35" t="s">
        <v>284</v>
      </c>
      <c r="E1607" s="227">
        <v>43525</v>
      </c>
      <c r="F1607" s="156">
        <v>140393.59</v>
      </c>
      <c r="G1607" s="131">
        <f t="shared" si="127"/>
        <v>25158.531327999997</v>
      </c>
      <c r="H1607" s="156">
        <v>466.46</v>
      </c>
      <c r="I1607" s="156">
        <v>0</v>
      </c>
      <c r="J1607" s="156">
        <v>0</v>
      </c>
      <c r="K1607" s="131">
        <f t="shared" si="128"/>
        <v>466.46</v>
      </c>
      <c r="L1607" s="134">
        <v>0.1792</v>
      </c>
    </row>
    <row r="1608" spans="3:12">
      <c r="C1608" s="161">
        <f t="shared" si="126"/>
        <v>2019</v>
      </c>
      <c r="D1608" s="35" t="s">
        <v>284</v>
      </c>
      <c r="E1608" s="227">
        <v>43556</v>
      </c>
      <c r="F1608" s="156">
        <v>151671.57999999999</v>
      </c>
      <c r="G1608" s="131">
        <f t="shared" si="127"/>
        <v>27179.547135999997</v>
      </c>
      <c r="H1608" s="156">
        <v>1779.15</v>
      </c>
      <c r="I1608" s="156">
        <v>0</v>
      </c>
      <c r="J1608" s="156">
        <v>0</v>
      </c>
      <c r="K1608" s="131">
        <f t="shared" si="128"/>
        <v>1779.15</v>
      </c>
      <c r="L1608" s="134">
        <v>0.1792</v>
      </c>
    </row>
    <row r="1609" spans="3:12">
      <c r="C1609" s="161">
        <f t="shared" si="126"/>
        <v>2019</v>
      </c>
      <c r="D1609" s="35" t="s">
        <v>284</v>
      </c>
      <c r="E1609" s="227">
        <v>43586</v>
      </c>
      <c r="F1609" s="156">
        <v>141776.07999999999</v>
      </c>
      <c r="G1609" s="131">
        <f t="shared" si="127"/>
        <v>25406.273535999997</v>
      </c>
      <c r="H1609" s="156">
        <v>425.1</v>
      </c>
      <c r="I1609" s="156">
        <v>54234.02</v>
      </c>
      <c r="J1609" s="156">
        <v>0</v>
      </c>
      <c r="K1609" s="131">
        <f t="shared" si="128"/>
        <v>54659.119999999995</v>
      </c>
      <c r="L1609" s="134">
        <v>0.1792</v>
      </c>
    </row>
    <row r="1610" spans="3:12">
      <c r="C1610" s="161">
        <f t="shared" si="126"/>
        <v>2019</v>
      </c>
      <c r="D1610" s="35" t="s">
        <v>284</v>
      </c>
      <c r="E1610" s="227">
        <v>43617</v>
      </c>
      <c r="F1610" s="156">
        <v>148224.24</v>
      </c>
      <c r="G1610" s="131">
        <f t="shared" si="127"/>
        <v>26561.783807999996</v>
      </c>
      <c r="H1610" s="156">
        <v>2960.61</v>
      </c>
      <c r="I1610" s="156">
        <v>0</v>
      </c>
      <c r="J1610" s="156">
        <v>0</v>
      </c>
      <c r="K1610" s="131">
        <f t="shared" si="128"/>
        <v>2960.61</v>
      </c>
      <c r="L1610" s="134">
        <v>0.1792</v>
      </c>
    </row>
    <row r="1611" spans="3:12">
      <c r="C1611" s="161">
        <f t="shared" si="126"/>
        <v>2019</v>
      </c>
      <c r="D1611" s="35" t="s">
        <v>284</v>
      </c>
      <c r="E1611" s="227">
        <v>43647</v>
      </c>
      <c r="F1611" s="156">
        <v>149870.68</v>
      </c>
      <c r="G1611" s="131">
        <f t="shared" si="127"/>
        <v>26856.825855999999</v>
      </c>
      <c r="H1611" s="156">
        <v>6822.76</v>
      </c>
      <c r="I1611" s="156">
        <v>31722.89</v>
      </c>
      <c r="J1611" s="156">
        <v>1816.3</v>
      </c>
      <c r="K1611" s="131">
        <f t="shared" si="128"/>
        <v>40361.950000000004</v>
      </c>
      <c r="L1611" s="134">
        <v>0.1792</v>
      </c>
    </row>
    <row r="1612" spans="3:12">
      <c r="C1612" s="161">
        <f t="shared" si="126"/>
        <v>2019</v>
      </c>
      <c r="D1612" s="35" t="s">
        <v>284</v>
      </c>
      <c r="E1612" s="227">
        <v>43678</v>
      </c>
      <c r="F1612" s="156">
        <v>152062.18</v>
      </c>
      <c r="G1612" s="131">
        <f t="shared" si="127"/>
        <v>27249.542655999998</v>
      </c>
      <c r="H1612" s="156">
        <v>3521.05</v>
      </c>
      <c r="I1612" s="156">
        <v>64605.46</v>
      </c>
      <c r="J1612" s="156">
        <v>0</v>
      </c>
      <c r="K1612" s="131">
        <f t="shared" si="128"/>
        <v>68126.509999999995</v>
      </c>
      <c r="L1612" s="134">
        <v>0.1792</v>
      </c>
    </row>
    <row r="1613" spans="3:12">
      <c r="C1613" s="161">
        <f t="shared" si="126"/>
        <v>2019</v>
      </c>
      <c r="D1613" s="35" t="s">
        <v>284</v>
      </c>
      <c r="E1613" s="227">
        <v>43709</v>
      </c>
      <c r="F1613" s="156">
        <v>176049.04</v>
      </c>
      <c r="G1613" s="131">
        <f t="shared" si="127"/>
        <v>31547.987968000001</v>
      </c>
      <c r="H1613" s="156">
        <v>1080.47</v>
      </c>
      <c r="I1613" s="156">
        <v>145084.70000000001</v>
      </c>
      <c r="J1613" s="156">
        <v>0</v>
      </c>
      <c r="K1613" s="131">
        <f t="shared" si="128"/>
        <v>146165.17000000001</v>
      </c>
      <c r="L1613" s="134">
        <v>0.1792</v>
      </c>
    </row>
    <row r="1614" spans="3:12">
      <c r="C1614" s="161">
        <f t="shared" si="126"/>
        <v>2019</v>
      </c>
      <c r="D1614" s="35" t="s">
        <v>284</v>
      </c>
      <c r="E1614" s="227">
        <v>43739</v>
      </c>
      <c r="F1614" s="156">
        <v>175822.15</v>
      </c>
      <c r="G1614" s="131">
        <f t="shared" si="127"/>
        <v>31507.329279999998</v>
      </c>
      <c r="H1614" s="156">
        <v>916.29</v>
      </c>
      <c r="I1614" s="156">
        <v>79789.039999999994</v>
      </c>
      <c r="J1614" s="156">
        <v>0</v>
      </c>
      <c r="K1614" s="131">
        <f t="shared" si="128"/>
        <v>80705.329999999987</v>
      </c>
      <c r="L1614" s="134">
        <v>0.1792</v>
      </c>
    </row>
    <row r="1615" spans="3:12">
      <c r="C1615" s="161">
        <f t="shared" si="126"/>
        <v>2019</v>
      </c>
      <c r="D1615" s="35" t="s">
        <v>284</v>
      </c>
      <c r="E1615" s="227">
        <v>43770</v>
      </c>
      <c r="F1615" s="156">
        <v>193621.14</v>
      </c>
      <c r="G1615" s="131">
        <f t="shared" si="127"/>
        <v>34696.908287999999</v>
      </c>
      <c r="H1615" s="156">
        <v>952.38</v>
      </c>
      <c r="I1615" s="156">
        <v>60945.29</v>
      </c>
      <c r="J1615" s="156">
        <v>0</v>
      </c>
      <c r="K1615" s="131">
        <f t="shared" si="128"/>
        <v>61897.67</v>
      </c>
      <c r="L1615" s="134">
        <v>0.1792</v>
      </c>
    </row>
    <row r="1616" spans="3:12">
      <c r="C1616" s="161">
        <f t="shared" si="126"/>
        <v>2019</v>
      </c>
      <c r="D1616" s="35" t="s">
        <v>284</v>
      </c>
      <c r="E1616" s="227">
        <v>43800</v>
      </c>
      <c r="F1616" s="156">
        <v>168768.6</v>
      </c>
      <c r="G1616" s="131">
        <f t="shared" si="127"/>
        <v>30243.333119999999</v>
      </c>
      <c r="H1616" s="156">
        <v>1739.53</v>
      </c>
      <c r="I1616" s="156">
        <v>76963.850000000006</v>
      </c>
      <c r="J1616" s="156">
        <v>0</v>
      </c>
      <c r="K1616" s="131">
        <f t="shared" si="128"/>
        <v>78703.38</v>
      </c>
      <c r="L1616" s="134">
        <v>0.1792</v>
      </c>
    </row>
    <row r="1617" spans="3:12">
      <c r="C1617" s="161">
        <f t="shared" si="126"/>
        <v>2020</v>
      </c>
      <c r="D1617" s="35" t="s">
        <v>284</v>
      </c>
      <c r="E1617" s="227">
        <v>43831</v>
      </c>
      <c r="F1617" s="156">
        <v>178189.31</v>
      </c>
      <c r="G1617" s="131">
        <f t="shared" si="127"/>
        <v>31931.524352</v>
      </c>
      <c r="H1617" s="156">
        <v>1575.39</v>
      </c>
      <c r="I1617" s="156">
        <v>30868.63</v>
      </c>
      <c r="J1617" s="156">
        <v>0</v>
      </c>
      <c r="K1617" s="131">
        <f t="shared" si="128"/>
        <v>32444.02</v>
      </c>
      <c r="L1617" s="134">
        <v>0.1792</v>
      </c>
    </row>
    <row r="1618" spans="3:12">
      <c r="C1618" s="161">
        <f t="shared" si="126"/>
        <v>2020</v>
      </c>
      <c r="D1618" s="35" t="s">
        <v>284</v>
      </c>
      <c r="E1618" s="227">
        <v>43862</v>
      </c>
      <c r="F1618" s="156">
        <v>159475.09</v>
      </c>
      <c r="G1618" s="131">
        <f t="shared" si="127"/>
        <v>28577.936127999998</v>
      </c>
      <c r="H1618" s="156">
        <v>632.04</v>
      </c>
      <c r="I1618" s="156">
        <v>237542.54</v>
      </c>
      <c r="J1618" s="156">
        <v>0</v>
      </c>
      <c r="K1618" s="131">
        <f t="shared" si="128"/>
        <v>238174.58000000002</v>
      </c>
      <c r="L1618" s="134">
        <v>0.1792</v>
      </c>
    </row>
    <row r="1619" spans="3:12">
      <c r="C1619" s="161">
        <f t="shared" si="126"/>
        <v>2020</v>
      </c>
      <c r="D1619" s="35" t="s">
        <v>284</v>
      </c>
      <c r="E1619" s="227">
        <v>43891</v>
      </c>
      <c r="F1619" s="156">
        <v>154820.380275</v>
      </c>
      <c r="G1619" s="131">
        <f t="shared" si="127"/>
        <v>27743.812145280001</v>
      </c>
      <c r="H1619" s="156">
        <v>2700.78</v>
      </c>
      <c r="I1619" s="156">
        <v>24875.57</v>
      </c>
      <c r="J1619" s="156">
        <v>0</v>
      </c>
      <c r="K1619" s="131">
        <f t="shared" si="128"/>
        <v>27576.35</v>
      </c>
      <c r="L1619" s="134">
        <v>0.1792</v>
      </c>
    </row>
    <row r="1620" spans="3:12">
      <c r="C1620" s="161">
        <f t="shared" si="126"/>
        <v>2020</v>
      </c>
      <c r="D1620" s="35" t="s">
        <v>284</v>
      </c>
      <c r="E1620" s="227">
        <v>43922</v>
      </c>
      <c r="F1620" s="156">
        <v>176228.45955</v>
      </c>
      <c r="G1620" s="131">
        <f t="shared" si="127"/>
        <v>31580.139951360001</v>
      </c>
      <c r="H1620" s="156">
        <v>1486.41</v>
      </c>
      <c r="I1620" s="156">
        <v>15614.51</v>
      </c>
      <c r="J1620" s="156">
        <v>0</v>
      </c>
      <c r="K1620" s="131">
        <f t="shared" si="128"/>
        <v>17100.920000000002</v>
      </c>
      <c r="L1620" s="134">
        <v>0.1792</v>
      </c>
    </row>
    <row r="1621" spans="3:12">
      <c r="C1621" s="161">
        <f t="shared" si="126"/>
        <v>2020</v>
      </c>
      <c r="D1621" s="35" t="s">
        <v>284</v>
      </c>
      <c r="E1621" s="227">
        <v>43952</v>
      </c>
      <c r="F1621" s="156">
        <v>162658.46</v>
      </c>
      <c r="G1621" s="131">
        <f t="shared" si="127"/>
        <v>29148.396031999997</v>
      </c>
      <c r="H1621" s="156">
        <v>939.33</v>
      </c>
      <c r="I1621" s="156">
        <v>0</v>
      </c>
      <c r="J1621" s="156">
        <v>0</v>
      </c>
      <c r="K1621" s="131">
        <f t="shared" si="128"/>
        <v>939.33</v>
      </c>
      <c r="L1621" s="134">
        <v>0.1792</v>
      </c>
    </row>
    <row r="1622" spans="3:12">
      <c r="C1622" s="161">
        <f t="shared" si="126"/>
        <v>2020</v>
      </c>
      <c r="D1622" s="35" t="s">
        <v>284</v>
      </c>
      <c r="E1622" s="227">
        <v>43983</v>
      </c>
      <c r="F1622" s="156">
        <v>163380.17000000001</v>
      </c>
      <c r="G1622" s="131">
        <f t="shared" si="127"/>
        <v>29277.726464000003</v>
      </c>
      <c r="H1622" s="156">
        <v>2210.48</v>
      </c>
      <c r="I1622" s="156">
        <v>127383.97</v>
      </c>
      <c r="J1622" s="156">
        <v>2330</v>
      </c>
      <c r="K1622" s="131">
        <f t="shared" si="128"/>
        <v>131924.45000000001</v>
      </c>
      <c r="L1622" s="134">
        <v>0.1792</v>
      </c>
    </row>
    <row r="1623" spans="3:12">
      <c r="C1623" s="161">
        <f t="shared" si="126"/>
        <v>2020</v>
      </c>
      <c r="D1623" s="35" t="s">
        <v>284</v>
      </c>
      <c r="E1623" s="227">
        <v>44013</v>
      </c>
      <c r="F1623" s="156">
        <v>170576.79</v>
      </c>
      <c r="G1623" s="131">
        <f t="shared" si="127"/>
        <v>30567.360768000002</v>
      </c>
      <c r="H1623" s="156">
        <v>11373.94</v>
      </c>
      <c r="I1623" s="156">
        <v>0</v>
      </c>
      <c r="J1623" s="156">
        <v>0</v>
      </c>
      <c r="K1623" s="131">
        <f t="shared" si="128"/>
        <v>11373.94</v>
      </c>
      <c r="L1623" s="134">
        <v>0.1792</v>
      </c>
    </row>
    <row r="1624" spans="3:12">
      <c r="C1624" s="161">
        <f t="shared" si="126"/>
        <v>2020</v>
      </c>
      <c r="D1624" s="35" t="s">
        <v>284</v>
      </c>
      <c r="E1624" s="227">
        <v>44044</v>
      </c>
      <c r="F1624" s="156">
        <v>169943.31</v>
      </c>
      <c r="G1624" s="131">
        <f t="shared" si="127"/>
        <v>30453.841152000001</v>
      </c>
      <c r="H1624" s="156">
        <v>839.32</v>
      </c>
      <c r="I1624" s="156">
        <v>132075.29999999999</v>
      </c>
      <c r="J1624" s="156">
        <v>5387.28</v>
      </c>
      <c r="K1624" s="131">
        <f t="shared" si="128"/>
        <v>138301.9</v>
      </c>
      <c r="L1624" s="134">
        <v>0.1792</v>
      </c>
    </row>
    <row r="1625" spans="3:12">
      <c r="C1625" s="161">
        <f t="shared" si="126"/>
        <v>2020</v>
      </c>
      <c r="D1625" s="35" t="s">
        <v>284</v>
      </c>
      <c r="E1625" s="227">
        <v>44075</v>
      </c>
      <c r="F1625" s="156">
        <v>233006.6</v>
      </c>
      <c r="G1625" s="131">
        <f t="shared" si="127"/>
        <v>41754.782720000003</v>
      </c>
      <c r="H1625" s="156">
        <v>203653.86</v>
      </c>
      <c r="I1625" s="156">
        <v>109140.09</v>
      </c>
      <c r="J1625" s="156">
        <v>0</v>
      </c>
      <c r="K1625" s="131">
        <f t="shared" si="128"/>
        <v>312793.94999999995</v>
      </c>
      <c r="L1625" s="134">
        <v>0.1792</v>
      </c>
    </row>
    <row r="1626" spans="3:12">
      <c r="C1626" s="161">
        <f t="shared" si="126"/>
        <v>2020</v>
      </c>
      <c r="D1626" s="35" t="s">
        <v>284</v>
      </c>
      <c r="E1626" s="227">
        <v>44105</v>
      </c>
      <c r="F1626" s="156">
        <v>220582.93</v>
      </c>
      <c r="G1626" s="131">
        <f t="shared" si="127"/>
        <v>39528.461056</v>
      </c>
      <c r="H1626" s="156">
        <v>1814.13</v>
      </c>
      <c r="I1626" s="156">
        <v>3294.05</v>
      </c>
      <c r="J1626" s="156">
        <v>0</v>
      </c>
      <c r="K1626" s="131">
        <f t="shared" si="128"/>
        <v>5108.18</v>
      </c>
      <c r="L1626" s="134">
        <v>0.1792</v>
      </c>
    </row>
    <row r="1627" spans="3:12">
      <c r="C1627" s="161">
        <f t="shared" si="126"/>
        <v>2020</v>
      </c>
      <c r="D1627" s="35" t="s">
        <v>284</v>
      </c>
      <c r="E1627" s="227">
        <v>44136</v>
      </c>
      <c r="F1627" s="156">
        <v>205459.42</v>
      </c>
      <c r="G1627" s="131">
        <f t="shared" si="127"/>
        <v>36818.328064000001</v>
      </c>
      <c r="H1627" s="156">
        <v>1334.46</v>
      </c>
      <c r="I1627" s="156">
        <v>4030.7</v>
      </c>
      <c r="J1627" s="156">
        <v>0</v>
      </c>
      <c r="K1627" s="131">
        <f t="shared" si="128"/>
        <v>5365.16</v>
      </c>
      <c r="L1627" s="134">
        <v>0.1792</v>
      </c>
    </row>
    <row r="1628" spans="3:12">
      <c r="C1628" s="161">
        <f t="shared" si="126"/>
        <v>2020</v>
      </c>
      <c r="D1628" s="35" t="s">
        <v>284</v>
      </c>
      <c r="E1628" s="227">
        <v>44166</v>
      </c>
      <c r="F1628" s="156">
        <v>227724.78</v>
      </c>
      <c r="G1628" s="131">
        <f t="shared" si="127"/>
        <v>40808.280575999997</v>
      </c>
      <c r="H1628" s="156">
        <v>467.82</v>
      </c>
      <c r="I1628" s="156">
        <v>2486.48</v>
      </c>
      <c r="J1628" s="156">
        <v>0</v>
      </c>
      <c r="K1628" s="131">
        <f t="shared" si="128"/>
        <v>2954.3</v>
      </c>
      <c r="L1628" s="134">
        <v>0.1792</v>
      </c>
    </row>
    <row r="1629" spans="3:12">
      <c r="C1629" s="161">
        <f t="shared" si="126"/>
        <v>2021</v>
      </c>
      <c r="D1629" s="35" t="s">
        <v>284</v>
      </c>
      <c r="E1629" s="227">
        <v>44197</v>
      </c>
      <c r="F1629" s="156">
        <v>224238.6</v>
      </c>
      <c r="G1629" s="131">
        <f t="shared" si="127"/>
        <v>40183.557119999998</v>
      </c>
      <c r="H1629" s="156">
        <v>4252.67</v>
      </c>
      <c r="I1629" s="156">
        <v>1813.81</v>
      </c>
      <c r="J1629" s="156">
        <v>0</v>
      </c>
      <c r="K1629" s="131">
        <f t="shared" si="128"/>
        <v>6066.48</v>
      </c>
      <c r="L1629" s="134">
        <v>0.1792</v>
      </c>
    </row>
    <row r="1630" spans="3:12">
      <c r="C1630" s="161">
        <f t="shared" si="126"/>
        <v>2021</v>
      </c>
      <c r="D1630" s="35" t="s">
        <v>284</v>
      </c>
      <c r="E1630" s="227">
        <v>44229</v>
      </c>
      <c r="F1630" s="156">
        <v>196322.47</v>
      </c>
      <c r="G1630" s="131">
        <f t="shared" si="127"/>
        <v>35180.986623999997</v>
      </c>
      <c r="H1630" s="156">
        <v>5805.56</v>
      </c>
      <c r="I1630" s="156">
        <v>11578.41</v>
      </c>
      <c r="J1630" s="156">
        <v>0</v>
      </c>
      <c r="K1630" s="131">
        <f t="shared" si="128"/>
        <v>17383.97</v>
      </c>
      <c r="L1630" s="134">
        <v>0.1792</v>
      </c>
    </row>
    <row r="1631" spans="3:12">
      <c r="C1631" s="161">
        <f t="shared" si="126"/>
        <v>2021</v>
      </c>
      <c r="D1631" s="35" t="s">
        <v>284</v>
      </c>
      <c r="E1631" s="227">
        <v>44258</v>
      </c>
      <c r="F1631" s="156">
        <v>198966.48</v>
      </c>
      <c r="G1631" s="131">
        <f t="shared" si="127"/>
        <v>35654.793215999998</v>
      </c>
      <c r="H1631" s="156">
        <v>1660.81</v>
      </c>
      <c r="I1631" s="156">
        <v>2210.4499999999998</v>
      </c>
      <c r="J1631" s="156">
        <v>0</v>
      </c>
      <c r="K1631" s="131">
        <f t="shared" si="128"/>
        <v>3871.2599999999998</v>
      </c>
      <c r="L1631" s="134">
        <v>0.1792</v>
      </c>
    </row>
    <row r="1632" spans="3:12">
      <c r="C1632" s="161">
        <f t="shared" si="126"/>
        <v>2021</v>
      </c>
      <c r="D1632" s="35" t="s">
        <v>284</v>
      </c>
      <c r="E1632" s="227">
        <v>44290</v>
      </c>
      <c r="F1632" s="156">
        <v>225443.65</v>
      </c>
      <c r="G1632" s="131">
        <f t="shared" si="127"/>
        <v>40399.502079999998</v>
      </c>
      <c r="H1632" s="156">
        <v>11358.12</v>
      </c>
      <c r="I1632" s="156">
        <v>613.52</v>
      </c>
      <c r="J1632" s="156">
        <v>0</v>
      </c>
      <c r="K1632" s="131">
        <f t="shared" si="128"/>
        <v>11971.640000000001</v>
      </c>
      <c r="L1632" s="134">
        <v>0.1792</v>
      </c>
    </row>
    <row r="1633" spans="3:12">
      <c r="C1633" s="161">
        <f t="shared" si="126"/>
        <v>2021</v>
      </c>
      <c r="D1633" s="35" t="s">
        <v>284</v>
      </c>
      <c r="E1633" s="227">
        <v>44321</v>
      </c>
      <c r="F1633" s="156">
        <v>201798.17</v>
      </c>
      <c r="G1633" s="131">
        <f t="shared" si="127"/>
        <v>36162.232064000003</v>
      </c>
      <c r="H1633" s="156">
        <v>915.48</v>
      </c>
      <c r="I1633" s="156">
        <v>91.97</v>
      </c>
      <c r="J1633" s="156">
        <v>3530.8</v>
      </c>
      <c r="K1633" s="131">
        <f t="shared" si="128"/>
        <v>4538.25</v>
      </c>
      <c r="L1633" s="134">
        <v>0.1792</v>
      </c>
    </row>
    <row r="1634" spans="3:12">
      <c r="C1634" s="161">
        <f t="shared" si="126"/>
        <v>2021</v>
      </c>
      <c r="D1634" s="35" t="s">
        <v>284</v>
      </c>
      <c r="E1634" s="227">
        <v>44353</v>
      </c>
      <c r="F1634" s="156">
        <v>216052.02</v>
      </c>
      <c r="G1634" s="131">
        <f t="shared" si="127"/>
        <v>38716.521983999999</v>
      </c>
      <c r="H1634" s="156">
        <v>996.93</v>
      </c>
      <c r="I1634" s="156">
        <v>91.97</v>
      </c>
      <c r="J1634" s="156">
        <v>0</v>
      </c>
      <c r="K1634" s="131">
        <f t="shared" si="128"/>
        <v>1088.8999999999999</v>
      </c>
      <c r="L1634" s="134">
        <v>0.1792</v>
      </c>
    </row>
    <row r="1635" spans="3:12">
      <c r="C1635" s="161">
        <f t="shared" si="126"/>
        <v>2015</v>
      </c>
      <c r="D1635" s="35" t="s">
        <v>285</v>
      </c>
      <c r="E1635" s="227">
        <v>42309</v>
      </c>
      <c r="F1635" s="156">
        <v>81181.759999999995</v>
      </c>
      <c r="G1635" s="131">
        <f t="shared" si="127"/>
        <v>14547.771391999999</v>
      </c>
      <c r="H1635" s="156">
        <v>124.85</v>
      </c>
      <c r="I1635" s="156">
        <v>0</v>
      </c>
      <c r="J1635" s="156">
        <v>0</v>
      </c>
      <c r="K1635" s="131">
        <f t="shared" si="128"/>
        <v>124.85</v>
      </c>
      <c r="L1635" s="134">
        <v>0.1792</v>
      </c>
    </row>
    <row r="1636" spans="3:12">
      <c r="C1636" s="161">
        <f t="shared" si="126"/>
        <v>2015</v>
      </c>
      <c r="D1636" s="35" t="s">
        <v>285</v>
      </c>
      <c r="E1636" s="227">
        <v>42339</v>
      </c>
      <c r="F1636" s="156">
        <v>76332.03</v>
      </c>
      <c r="G1636" s="131">
        <f t="shared" si="127"/>
        <v>13678.699775999999</v>
      </c>
      <c r="H1636" s="156">
        <v>93397.13</v>
      </c>
      <c r="I1636" s="156">
        <v>0</v>
      </c>
      <c r="J1636" s="156">
        <v>0</v>
      </c>
      <c r="K1636" s="131">
        <f t="shared" si="128"/>
        <v>93397.13</v>
      </c>
      <c r="L1636" s="134">
        <v>0.1792</v>
      </c>
    </row>
    <row r="1637" spans="3:12">
      <c r="C1637" s="161">
        <f t="shared" si="126"/>
        <v>2016</v>
      </c>
      <c r="D1637" s="35" t="s">
        <v>285</v>
      </c>
      <c r="E1637" s="227">
        <v>42370</v>
      </c>
      <c r="F1637" s="156">
        <v>86156.68</v>
      </c>
      <c r="G1637" s="131">
        <f t="shared" si="127"/>
        <v>15439.277055999999</v>
      </c>
      <c r="H1637" s="156">
        <v>0</v>
      </c>
      <c r="I1637" s="156">
        <v>0</v>
      </c>
      <c r="J1637" s="156">
        <v>0</v>
      </c>
      <c r="K1637" s="131">
        <f t="shared" si="128"/>
        <v>0</v>
      </c>
      <c r="L1637" s="134">
        <v>0.1792</v>
      </c>
    </row>
    <row r="1638" spans="3:12">
      <c r="C1638" s="161">
        <f t="shared" si="126"/>
        <v>2016</v>
      </c>
      <c r="D1638" s="35" t="s">
        <v>285</v>
      </c>
      <c r="E1638" s="227">
        <v>42401</v>
      </c>
      <c r="F1638" s="156">
        <v>80106.89</v>
      </c>
      <c r="G1638" s="131">
        <f t="shared" si="127"/>
        <v>14355.154688000001</v>
      </c>
      <c r="H1638" s="156">
        <v>634.59</v>
      </c>
      <c r="I1638" s="156">
        <v>0</v>
      </c>
      <c r="J1638" s="156">
        <v>0</v>
      </c>
      <c r="K1638" s="131">
        <f t="shared" si="128"/>
        <v>634.59</v>
      </c>
      <c r="L1638" s="134">
        <v>0.1792</v>
      </c>
    </row>
    <row r="1639" spans="3:12">
      <c r="C1639" s="161">
        <f t="shared" si="126"/>
        <v>2016</v>
      </c>
      <c r="D1639" s="35" t="s">
        <v>285</v>
      </c>
      <c r="E1639" s="227">
        <v>42430</v>
      </c>
      <c r="F1639" s="156">
        <v>76122.12</v>
      </c>
      <c r="G1639" s="131">
        <f t="shared" si="127"/>
        <v>13641.083903999999</v>
      </c>
      <c r="H1639" s="156">
        <v>383.67</v>
      </c>
      <c r="I1639" s="156">
        <v>0</v>
      </c>
      <c r="J1639" s="156">
        <v>0</v>
      </c>
      <c r="K1639" s="131">
        <f t="shared" si="128"/>
        <v>383.67</v>
      </c>
      <c r="L1639" s="134">
        <v>0.1792</v>
      </c>
    </row>
    <row r="1640" spans="3:12">
      <c r="C1640" s="161">
        <f t="shared" si="126"/>
        <v>2016</v>
      </c>
      <c r="D1640" s="35" t="s">
        <v>285</v>
      </c>
      <c r="E1640" s="227">
        <v>42461</v>
      </c>
      <c r="F1640" s="156">
        <v>84533.63</v>
      </c>
      <c r="G1640" s="131">
        <f t="shared" si="127"/>
        <v>15148.426496</v>
      </c>
      <c r="H1640" s="156">
        <v>290.31</v>
      </c>
      <c r="I1640" s="156">
        <v>135640.09</v>
      </c>
      <c r="J1640" s="156">
        <v>0</v>
      </c>
      <c r="K1640" s="131">
        <f t="shared" si="128"/>
        <v>135930.4</v>
      </c>
      <c r="L1640" s="134">
        <v>0.1792</v>
      </c>
    </row>
    <row r="1641" spans="3:12">
      <c r="C1641" s="161">
        <f t="shared" si="126"/>
        <v>2016</v>
      </c>
      <c r="D1641" s="35" t="s">
        <v>285</v>
      </c>
      <c r="E1641" s="227">
        <v>42491</v>
      </c>
      <c r="F1641" s="156">
        <v>75050.38</v>
      </c>
      <c r="G1641" s="131">
        <f t="shared" si="127"/>
        <v>13449.028096</v>
      </c>
      <c r="H1641" s="156">
        <v>153.19999999999999</v>
      </c>
      <c r="I1641" s="156">
        <v>0</v>
      </c>
      <c r="J1641" s="156">
        <v>0</v>
      </c>
      <c r="K1641" s="131">
        <f t="shared" si="128"/>
        <v>153.19999999999999</v>
      </c>
      <c r="L1641" s="134">
        <v>0.1792</v>
      </c>
    </row>
    <row r="1642" spans="3:12">
      <c r="C1642" s="161">
        <f t="shared" si="126"/>
        <v>2016</v>
      </c>
      <c r="D1642" s="35" t="s">
        <v>285</v>
      </c>
      <c r="E1642" s="227">
        <v>42522</v>
      </c>
      <c r="F1642" s="156">
        <v>73952.81</v>
      </c>
      <c r="G1642" s="131">
        <f t="shared" si="127"/>
        <v>13252.343552</v>
      </c>
      <c r="H1642" s="156">
        <v>1231.93</v>
      </c>
      <c r="I1642" s="156">
        <v>0</v>
      </c>
      <c r="J1642" s="156">
        <v>11475.71</v>
      </c>
      <c r="K1642" s="131">
        <f t="shared" si="128"/>
        <v>12707.64</v>
      </c>
      <c r="L1642" s="134">
        <v>0.1792</v>
      </c>
    </row>
    <row r="1643" spans="3:12">
      <c r="C1643" s="161">
        <f t="shared" si="126"/>
        <v>2016</v>
      </c>
      <c r="D1643" s="35" t="s">
        <v>285</v>
      </c>
      <c r="E1643" s="227">
        <v>42552</v>
      </c>
      <c r="F1643" s="156">
        <v>84854.95</v>
      </c>
      <c r="G1643" s="131">
        <f t="shared" si="127"/>
        <v>15206.007039999999</v>
      </c>
      <c r="H1643" s="156">
        <v>399.04</v>
      </c>
      <c r="I1643" s="156">
        <v>8575.18</v>
      </c>
      <c r="J1643" s="156">
        <v>3980</v>
      </c>
      <c r="K1643" s="131">
        <f t="shared" si="128"/>
        <v>12954.220000000001</v>
      </c>
      <c r="L1643" s="134">
        <v>0.1792</v>
      </c>
    </row>
    <row r="1644" spans="3:12">
      <c r="C1644" s="161">
        <f t="shared" si="126"/>
        <v>2016</v>
      </c>
      <c r="D1644" s="35" t="s">
        <v>285</v>
      </c>
      <c r="E1644" s="227">
        <v>42583</v>
      </c>
      <c r="F1644" s="156">
        <v>86813.68</v>
      </c>
      <c r="G1644" s="131">
        <f t="shared" si="127"/>
        <v>15557.011455999998</v>
      </c>
      <c r="H1644" s="156">
        <v>491.89</v>
      </c>
      <c r="I1644" s="156">
        <v>0.01</v>
      </c>
      <c r="J1644" s="156">
        <v>0</v>
      </c>
      <c r="K1644" s="131">
        <f t="shared" si="128"/>
        <v>491.9</v>
      </c>
      <c r="L1644" s="134">
        <v>0.1792</v>
      </c>
    </row>
    <row r="1645" spans="3:12">
      <c r="C1645" s="161">
        <f t="shared" si="126"/>
        <v>2016</v>
      </c>
      <c r="D1645" s="35" t="s">
        <v>285</v>
      </c>
      <c r="E1645" s="227">
        <v>42614</v>
      </c>
      <c r="F1645" s="156">
        <v>86434.28</v>
      </c>
      <c r="G1645" s="131">
        <f t="shared" si="127"/>
        <v>15489.022976</v>
      </c>
      <c r="H1645" s="156">
        <v>345.75</v>
      </c>
      <c r="I1645" s="156">
        <v>0</v>
      </c>
      <c r="J1645" s="156">
        <v>0</v>
      </c>
      <c r="K1645" s="131">
        <f t="shared" si="128"/>
        <v>345.75</v>
      </c>
      <c r="L1645" s="134">
        <v>0.1792</v>
      </c>
    </row>
    <row r="1646" spans="3:12">
      <c r="C1646" s="161">
        <f t="shared" si="126"/>
        <v>2016</v>
      </c>
      <c r="D1646" s="35" t="s">
        <v>285</v>
      </c>
      <c r="E1646" s="227">
        <v>42644</v>
      </c>
      <c r="F1646" s="156">
        <v>90968.92</v>
      </c>
      <c r="G1646" s="131">
        <f t="shared" si="127"/>
        <v>16301.630464</v>
      </c>
      <c r="H1646" s="156">
        <v>152.24</v>
      </c>
      <c r="I1646" s="156">
        <v>0</v>
      </c>
      <c r="J1646" s="156">
        <v>0</v>
      </c>
      <c r="K1646" s="131">
        <f t="shared" si="128"/>
        <v>152.24</v>
      </c>
      <c r="L1646" s="134">
        <v>0.1792</v>
      </c>
    </row>
    <row r="1647" spans="3:12">
      <c r="C1647" s="161">
        <f t="shared" si="126"/>
        <v>2016</v>
      </c>
      <c r="D1647" s="35" t="s">
        <v>285</v>
      </c>
      <c r="E1647" s="227">
        <v>42675</v>
      </c>
      <c r="F1647" s="156">
        <v>97402.57</v>
      </c>
      <c r="G1647" s="131">
        <f t="shared" si="127"/>
        <v>17454.540543999999</v>
      </c>
      <c r="H1647" s="156">
        <v>192.15</v>
      </c>
      <c r="I1647" s="156">
        <v>0</v>
      </c>
      <c r="J1647" s="156">
        <v>1279</v>
      </c>
      <c r="K1647" s="131">
        <f t="shared" si="128"/>
        <v>1471.15</v>
      </c>
      <c r="L1647" s="134">
        <v>0.1792</v>
      </c>
    </row>
    <row r="1648" spans="3:12">
      <c r="C1648" s="161">
        <f t="shared" si="126"/>
        <v>2016</v>
      </c>
      <c r="D1648" s="35" t="s">
        <v>285</v>
      </c>
      <c r="E1648" s="227">
        <v>42705</v>
      </c>
      <c r="F1648" s="156">
        <v>94666.55</v>
      </c>
      <c r="G1648" s="131">
        <f t="shared" si="127"/>
        <v>16964.245760000002</v>
      </c>
      <c r="H1648" s="156">
        <v>199.08</v>
      </c>
      <c r="I1648" s="156">
        <v>0</v>
      </c>
      <c r="J1648" s="156">
        <v>0</v>
      </c>
      <c r="K1648" s="131">
        <f t="shared" si="128"/>
        <v>199.08</v>
      </c>
      <c r="L1648" s="134">
        <v>0.1792</v>
      </c>
    </row>
    <row r="1649" spans="3:12">
      <c r="C1649" s="161">
        <f t="shared" si="126"/>
        <v>2017</v>
      </c>
      <c r="D1649" s="35" t="s">
        <v>285</v>
      </c>
      <c r="E1649" s="227">
        <v>42736</v>
      </c>
      <c r="F1649" s="156">
        <v>98013.74</v>
      </c>
      <c r="G1649" s="131">
        <f t="shared" si="127"/>
        <v>17564.062207999999</v>
      </c>
      <c r="H1649" s="156">
        <v>377.16</v>
      </c>
      <c r="I1649" s="156">
        <v>0</v>
      </c>
      <c r="J1649" s="156">
        <v>0</v>
      </c>
      <c r="K1649" s="131">
        <f t="shared" si="128"/>
        <v>377.16</v>
      </c>
      <c r="L1649" s="134">
        <v>0.1792</v>
      </c>
    </row>
    <row r="1650" spans="3:12">
      <c r="C1650" s="161">
        <f t="shared" si="126"/>
        <v>2017</v>
      </c>
      <c r="D1650" s="35" t="s">
        <v>285</v>
      </c>
      <c r="E1650" s="227">
        <v>42767</v>
      </c>
      <c r="F1650" s="156">
        <v>92160.52</v>
      </c>
      <c r="G1650" s="131">
        <f t="shared" si="127"/>
        <v>16515.165184000001</v>
      </c>
      <c r="H1650" s="156">
        <v>1520.6</v>
      </c>
      <c r="I1650" s="156">
        <v>70989.47</v>
      </c>
      <c r="J1650" s="156">
        <v>0</v>
      </c>
      <c r="K1650" s="131">
        <f t="shared" si="128"/>
        <v>72510.070000000007</v>
      </c>
      <c r="L1650" s="134">
        <v>0.1792</v>
      </c>
    </row>
    <row r="1651" spans="3:12">
      <c r="C1651" s="161">
        <f t="shared" si="126"/>
        <v>2017</v>
      </c>
      <c r="D1651" s="35" t="s">
        <v>285</v>
      </c>
      <c r="E1651" s="227">
        <v>42795</v>
      </c>
      <c r="F1651" s="156">
        <v>82533.5</v>
      </c>
      <c r="G1651" s="131">
        <f t="shared" si="127"/>
        <v>14790.003199999999</v>
      </c>
      <c r="H1651" s="156">
        <v>237.85</v>
      </c>
      <c r="I1651" s="156">
        <v>18401.599999999999</v>
      </c>
      <c r="J1651" s="156">
        <v>786.4</v>
      </c>
      <c r="K1651" s="131">
        <f t="shared" si="128"/>
        <v>19425.849999999999</v>
      </c>
      <c r="L1651" s="134">
        <v>0.1792</v>
      </c>
    </row>
    <row r="1652" spans="3:12">
      <c r="C1652" s="161">
        <f t="shared" si="126"/>
        <v>2017</v>
      </c>
      <c r="D1652" s="35" t="s">
        <v>285</v>
      </c>
      <c r="E1652" s="227">
        <v>42826</v>
      </c>
      <c r="F1652" s="156">
        <v>84319.96</v>
      </c>
      <c r="G1652" s="131">
        <f t="shared" si="127"/>
        <v>15110.136832</v>
      </c>
      <c r="H1652" s="156">
        <v>276.10000000000002</v>
      </c>
      <c r="I1652" s="156">
        <v>0</v>
      </c>
      <c r="J1652" s="156">
        <v>0</v>
      </c>
      <c r="K1652" s="131">
        <f t="shared" si="128"/>
        <v>276.10000000000002</v>
      </c>
      <c r="L1652" s="134">
        <v>0.1792</v>
      </c>
    </row>
    <row r="1653" spans="3:12">
      <c r="C1653" s="161">
        <f t="shared" si="126"/>
        <v>2017</v>
      </c>
      <c r="D1653" s="35" t="s">
        <v>285</v>
      </c>
      <c r="E1653" s="227">
        <v>42856</v>
      </c>
      <c r="F1653" s="156">
        <v>82224.06</v>
      </c>
      <c r="G1653" s="131">
        <f t="shared" si="127"/>
        <v>14734.551551999999</v>
      </c>
      <c r="H1653" s="156">
        <v>2344.16</v>
      </c>
      <c r="I1653" s="156">
        <v>0</v>
      </c>
      <c r="J1653" s="156">
        <v>0</v>
      </c>
      <c r="K1653" s="131">
        <f t="shared" si="128"/>
        <v>2344.16</v>
      </c>
      <c r="L1653" s="134">
        <v>0.1792</v>
      </c>
    </row>
    <row r="1654" spans="3:12">
      <c r="C1654" s="161">
        <f t="shared" si="126"/>
        <v>2017</v>
      </c>
      <c r="D1654" s="35" t="s">
        <v>285</v>
      </c>
      <c r="E1654" s="227">
        <v>42887</v>
      </c>
      <c r="F1654" s="156">
        <v>80633.84</v>
      </c>
      <c r="G1654" s="131">
        <f t="shared" si="127"/>
        <v>14449.584127999999</v>
      </c>
      <c r="H1654" s="156">
        <v>117.92</v>
      </c>
      <c r="I1654" s="156">
        <v>0</v>
      </c>
      <c r="J1654" s="156">
        <v>0</v>
      </c>
      <c r="K1654" s="131">
        <f t="shared" si="128"/>
        <v>117.92</v>
      </c>
      <c r="L1654" s="134">
        <v>0.1792</v>
      </c>
    </row>
    <row r="1655" spans="3:12">
      <c r="C1655" s="161">
        <f t="shared" si="126"/>
        <v>2017</v>
      </c>
      <c r="D1655" s="35" t="s">
        <v>285</v>
      </c>
      <c r="E1655" s="227">
        <v>42917</v>
      </c>
      <c r="F1655" s="156">
        <v>85867.49</v>
      </c>
      <c r="G1655" s="131">
        <f t="shared" si="127"/>
        <v>15387.454208000001</v>
      </c>
      <c r="H1655" s="156">
        <v>467.68</v>
      </c>
      <c r="I1655" s="156">
        <v>0</v>
      </c>
      <c r="J1655" s="156">
        <v>0</v>
      </c>
      <c r="K1655" s="131">
        <f t="shared" si="128"/>
        <v>467.68</v>
      </c>
      <c r="L1655" s="134">
        <v>0.1792</v>
      </c>
    </row>
    <row r="1656" spans="3:12">
      <c r="C1656" s="161">
        <f t="shared" si="126"/>
        <v>2017</v>
      </c>
      <c r="D1656" s="35" t="s">
        <v>285</v>
      </c>
      <c r="E1656" s="227">
        <v>42948</v>
      </c>
      <c r="F1656" s="156">
        <v>90489.72</v>
      </c>
      <c r="G1656" s="131">
        <f t="shared" si="127"/>
        <v>16215.757824</v>
      </c>
      <c r="H1656" s="156">
        <v>256.12</v>
      </c>
      <c r="I1656" s="156">
        <v>0</v>
      </c>
      <c r="J1656" s="156">
        <v>0</v>
      </c>
      <c r="K1656" s="131">
        <f t="shared" si="128"/>
        <v>256.12</v>
      </c>
      <c r="L1656" s="134">
        <v>0.1792</v>
      </c>
    </row>
    <row r="1657" spans="3:12">
      <c r="C1657" s="161">
        <f t="shared" si="126"/>
        <v>2017</v>
      </c>
      <c r="D1657" s="35" t="s">
        <v>285</v>
      </c>
      <c r="E1657" s="227">
        <v>42979</v>
      </c>
      <c r="F1657" s="156">
        <v>102554.24000000001</v>
      </c>
      <c r="G1657" s="131">
        <f t="shared" si="127"/>
        <v>18377.719808000002</v>
      </c>
      <c r="H1657" s="156">
        <v>233.89</v>
      </c>
      <c r="I1657" s="156">
        <v>0</v>
      </c>
      <c r="J1657" s="156">
        <v>0</v>
      </c>
      <c r="K1657" s="131">
        <f t="shared" si="128"/>
        <v>233.89</v>
      </c>
      <c r="L1657" s="134">
        <v>0.1792</v>
      </c>
    </row>
    <row r="1658" spans="3:12">
      <c r="C1658" s="161">
        <f t="shared" si="126"/>
        <v>2017</v>
      </c>
      <c r="D1658" s="35" t="s">
        <v>285</v>
      </c>
      <c r="E1658" s="227">
        <v>43009</v>
      </c>
      <c r="F1658" s="156">
        <v>97954.78</v>
      </c>
      <c r="G1658" s="131">
        <f t="shared" si="127"/>
        <v>17553.496576000001</v>
      </c>
      <c r="H1658" s="156">
        <v>58.15</v>
      </c>
      <c r="I1658" s="156">
        <v>0</v>
      </c>
      <c r="J1658" s="156">
        <v>0</v>
      </c>
      <c r="K1658" s="131">
        <f t="shared" si="128"/>
        <v>58.15</v>
      </c>
      <c r="L1658" s="134">
        <v>0.1792</v>
      </c>
    </row>
    <row r="1659" spans="3:12">
      <c r="C1659" s="161">
        <f t="shared" si="126"/>
        <v>2017</v>
      </c>
      <c r="D1659" s="35" t="s">
        <v>285</v>
      </c>
      <c r="E1659" s="227">
        <v>43040</v>
      </c>
      <c r="F1659" s="156">
        <v>90802.06</v>
      </c>
      <c r="G1659" s="131">
        <f t="shared" si="127"/>
        <v>16271.729152</v>
      </c>
      <c r="H1659" s="156">
        <v>484.59</v>
      </c>
      <c r="I1659" s="156">
        <v>0</v>
      </c>
      <c r="J1659" s="156">
        <v>0</v>
      </c>
      <c r="K1659" s="131">
        <f t="shared" si="128"/>
        <v>484.59</v>
      </c>
      <c r="L1659" s="134">
        <v>0.1792</v>
      </c>
    </row>
    <row r="1660" spans="3:12">
      <c r="C1660" s="161">
        <f t="shared" si="126"/>
        <v>2017</v>
      </c>
      <c r="D1660" s="35" t="s">
        <v>285</v>
      </c>
      <c r="E1660" s="227">
        <v>43070</v>
      </c>
      <c r="F1660" s="156">
        <v>90751.42</v>
      </c>
      <c r="G1660" s="131">
        <f t="shared" si="127"/>
        <v>16262.654463999999</v>
      </c>
      <c r="H1660" s="156">
        <v>57.75</v>
      </c>
      <c r="I1660" s="156">
        <v>0</v>
      </c>
      <c r="J1660" s="156">
        <v>0</v>
      </c>
      <c r="K1660" s="131">
        <f t="shared" si="128"/>
        <v>57.75</v>
      </c>
      <c r="L1660" s="134">
        <v>0.1792</v>
      </c>
    </row>
    <row r="1661" spans="3:12">
      <c r="C1661" s="161">
        <f t="shared" si="126"/>
        <v>2018</v>
      </c>
      <c r="D1661" s="35" t="s">
        <v>285</v>
      </c>
      <c r="E1661" s="227">
        <v>43101</v>
      </c>
      <c r="F1661" s="156">
        <v>83886.51</v>
      </c>
      <c r="G1661" s="131">
        <f t="shared" si="127"/>
        <v>15032.462591999998</v>
      </c>
      <c r="H1661" s="156">
        <v>56.1</v>
      </c>
      <c r="I1661" s="156">
        <v>0</v>
      </c>
      <c r="J1661" s="156">
        <v>0</v>
      </c>
      <c r="K1661" s="131">
        <f t="shared" si="128"/>
        <v>56.1</v>
      </c>
      <c r="L1661" s="134">
        <v>0.1792</v>
      </c>
    </row>
    <row r="1662" spans="3:12">
      <c r="C1662" s="161">
        <f t="shared" si="126"/>
        <v>2018</v>
      </c>
      <c r="D1662" s="35" t="s">
        <v>285</v>
      </c>
      <c r="E1662" s="227">
        <v>43132</v>
      </c>
      <c r="F1662" s="156">
        <v>88684.78</v>
      </c>
      <c r="G1662" s="131">
        <f t="shared" si="127"/>
        <v>15892.312576</v>
      </c>
      <c r="H1662" s="156">
        <v>2795.54</v>
      </c>
      <c r="I1662" s="156">
        <v>0</v>
      </c>
      <c r="J1662" s="156">
        <v>0</v>
      </c>
      <c r="K1662" s="131">
        <f t="shared" si="128"/>
        <v>2795.54</v>
      </c>
      <c r="L1662" s="134">
        <v>0.1792</v>
      </c>
    </row>
    <row r="1663" spans="3:12">
      <c r="C1663" s="161">
        <f t="shared" si="126"/>
        <v>2018</v>
      </c>
      <c r="D1663" s="35" t="s">
        <v>285</v>
      </c>
      <c r="E1663" s="227">
        <v>43160</v>
      </c>
      <c r="F1663" s="156">
        <v>87513.66</v>
      </c>
      <c r="G1663" s="131">
        <f t="shared" si="127"/>
        <v>15682.447872000001</v>
      </c>
      <c r="H1663" s="156">
        <v>0</v>
      </c>
      <c r="I1663" s="156">
        <v>0</v>
      </c>
      <c r="J1663" s="156">
        <v>0</v>
      </c>
      <c r="K1663" s="131">
        <f t="shared" si="128"/>
        <v>0</v>
      </c>
      <c r="L1663" s="134">
        <v>0.1792</v>
      </c>
    </row>
    <row r="1664" spans="3:12">
      <c r="C1664" s="161">
        <f t="shared" si="126"/>
        <v>2018</v>
      </c>
      <c r="D1664" s="35" t="s">
        <v>285</v>
      </c>
      <c r="E1664" s="227">
        <v>43191</v>
      </c>
      <c r="F1664" s="156">
        <v>93445.51</v>
      </c>
      <c r="G1664" s="131">
        <f t="shared" si="127"/>
        <v>16745.435391999999</v>
      </c>
      <c r="H1664" s="156">
        <v>93.01</v>
      </c>
      <c r="I1664" s="156">
        <v>0</v>
      </c>
      <c r="J1664" s="156">
        <v>0</v>
      </c>
      <c r="K1664" s="131">
        <f t="shared" si="128"/>
        <v>93.01</v>
      </c>
      <c r="L1664" s="134">
        <v>0.1792</v>
      </c>
    </row>
    <row r="1665" spans="3:12">
      <c r="C1665" s="161">
        <f t="shared" si="126"/>
        <v>2018</v>
      </c>
      <c r="D1665" s="35" t="s">
        <v>285</v>
      </c>
      <c r="E1665" s="227">
        <v>43221</v>
      </c>
      <c r="F1665" s="156">
        <v>90593.31</v>
      </c>
      <c r="G1665" s="131">
        <f t="shared" si="127"/>
        <v>16234.321151999999</v>
      </c>
      <c r="H1665" s="156">
        <v>74.86</v>
      </c>
      <c r="I1665" s="156">
        <v>0</v>
      </c>
      <c r="J1665" s="156">
        <v>0</v>
      </c>
      <c r="K1665" s="131">
        <f t="shared" si="128"/>
        <v>74.86</v>
      </c>
      <c r="L1665" s="134">
        <v>0.1792</v>
      </c>
    </row>
    <row r="1666" spans="3:12">
      <c r="C1666" s="161">
        <f t="shared" si="126"/>
        <v>2018</v>
      </c>
      <c r="D1666" s="35" t="s">
        <v>285</v>
      </c>
      <c r="E1666" s="227">
        <v>43252</v>
      </c>
      <c r="F1666" s="156">
        <v>90711.08</v>
      </c>
      <c r="G1666" s="131">
        <f t="shared" si="127"/>
        <v>16255.425536000001</v>
      </c>
      <c r="H1666" s="156">
        <v>15098.88</v>
      </c>
      <c r="I1666" s="156">
        <v>0</v>
      </c>
      <c r="J1666" s="156">
        <v>0</v>
      </c>
      <c r="K1666" s="131">
        <f t="shared" si="128"/>
        <v>15098.88</v>
      </c>
      <c r="L1666" s="134">
        <v>0.1792</v>
      </c>
    </row>
    <row r="1667" spans="3:12">
      <c r="C1667" s="161">
        <f t="shared" si="126"/>
        <v>2018</v>
      </c>
      <c r="D1667" s="35" t="s">
        <v>285</v>
      </c>
      <c r="E1667" s="227">
        <v>43282</v>
      </c>
      <c r="F1667" s="156">
        <v>94313.83</v>
      </c>
      <c r="G1667" s="131">
        <f t="shared" si="127"/>
        <v>16901.038336000001</v>
      </c>
      <c r="H1667" s="156">
        <v>135.43</v>
      </c>
      <c r="I1667" s="156">
        <v>4983.21</v>
      </c>
      <c r="J1667" s="156">
        <v>0</v>
      </c>
      <c r="K1667" s="131">
        <f t="shared" si="128"/>
        <v>5118.6400000000003</v>
      </c>
      <c r="L1667" s="134">
        <v>0.1792</v>
      </c>
    </row>
    <row r="1668" spans="3:12">
      <c r="C1668" s="161">
        <f t="shared" ref="C1668:C1731" si="129">YEAR(E1668)</f>
        <v>2018</v>
      </c>
      <c r="D1668" s="35" t="s">
        <v>285</v>
      </c>
      <c r="E1668" s="227">
        <v>43313</v>
      </c>
      <c r="F1668" s="156">
        <v>98411.02</v>
      </c>
      <c r="G1668" s="131">
        <f t="shared" ref="G1668:G1731" si="130">F1668*L1668</f>
        <v>17635.254784000001</v>
      </c>
      <c r="H1668" s="156">
        <v>31476.75</v>
      </c>
      <c r="I1668" s="156">
        <v>0</v>
      </c>
      <c r="J1668" s="156">
        <v>0</v>
      </c>
      <c r="K1668" s="131">
        <f t="shared" ref="K1668:K1731" si="131">SUM(H1668:J1668)</f>
        <v>31476.75</v>
      </c>
      <c r="L1668" s="134">
        <v>0.1792</v>
      </c>
    </row>
    <row r="1669" spans="3:12">
      <c r="C1669" s="161">
        <f t="shared" si="129"/>
        <v>2018</v>
      </c>
      <c r="D1669" s="35" t="s">
        <v>285</v>
      </c>
      <c r="E1669" s="227">
        <v>43344</v>
      </c>
      <c r="F1669" s="156">
        <v>101809.36</v>
      </c>
      <c r="G1669" s="131">
        <f t="shared" si="130"/>
        <v>18244.237312000001</v>
      </c>
      <c r="H1669" s="156">
        <v>217.61</v>
      </c>
      <c r="I1669" s="156">
        <v>0</v>
      </c>
      <c r="J1669" s="156">
        <v>1200</v>
      </c>
      <c r="K1669" s="131">
        <f t="shared" si="131"/>
        <v>1417.6100000000001</v>
      </c>
      <c r="L1669" s="134">
        <v>0.1792</v>
      </c>
    </row>
    <row r="1670" spans="3:12">
      <c r="C1670" s="161">
        <f t="shared" si="129"/>
        <v>2018</v>
      </c>
      <c r="D1670" s="35" t="s">
        <v>285</v>
      </c>
      <c r="E1670" s="227">
        <v>43374</v>
      </c>
      <c r="F1670" s="156">
        <v>103439.37</v>
      </c>
      <c r="G1670" s="131">
        <f t="shared" si="130"/>
        <v>18536.335103999998</v>
      </c>
      <c r="H1670" s="156">
        <v>0</v>
      </c>
      <c r="I1670" s="156">
        <v>0</v>
      </c>
      <c r="J1670" s="156">
        <v>472.09</v>
      </c>
      <c r="K1670" s="131">
        <f t="shared" si="131"/>
        <v>472.09</v>
      </c>
      <c r="L1670" s="134">
        <v>0.1792</v>
      </c>
    </row>
    <row r="1671" spans="3:12">
      <c r="C1671" s="161">
        <f t="shared" si="129"/>
        <v>2018</v>
      </c>
      <c r="D1671" s="35" t="s">
        <v>285</v>
      </c>
      <c r="E1671" s="227">
        <v>43405</v>
      </c>
      <c r="F1671" s="156">
        <v>100322.355375</v>
      </c>
      <c r="G1671" s="131">
        <f t="shared" si="130"/>
        <v>17977.7660832</v>
      </c>
      <c r="H1671" s="156">
        <v>52.41</v>
      </c>
      <c r="I1671" s="156">
        <v>0</v>
      </c>
      <c r="J1671" s="156">
        <v>43222.5</v>
      </c>
      <c r="K1671" s="131">
        <f t="shared" si="131"/>
        <v>43274.91</v>
      </c>
      <c r="L1671" s="134">
        <v>0.1792</v>
      </c>
    </row>
    <row r="1672" spans="3:12">
      <c r="C1672" s="161">
        <f t="shared" si="129"/>
        <v>2018</v>
      </c>
      <c r="D1672" s="35" t="s">
        <v>285</v>
      </c>
      <c r="E1672" s="227">
        <v>43435</v>
      </c>
      <c r="F1672" s="156">
        <v>100244.23</v>
      </c>
      <c r="G1672" s="131">
        <f t="shared" si="130"/>
        <v>17963.766015999998</v>
      </c>
      <c r="H1672" s="156">
        <v>140.29</v>
      </c>
      <c r="I1672" s="156">
        <v>0</v>
      </c>
      <c r="J1672" s="156">
        <v>0</v>
      </c>
      <c r="K1672" s="131">
        <f t="shared" si="131"/>
        <v>140.29</v>
      </c>
      <c r="L1672" s="134">
        <v>0.1792</v>
      </c>
    </row>
    <row r="1673" spans="3:12">
      <c r="C1673" s="161">
        <f t="shared" si="129"/>
        <v>2019</v>
      </c>
      <c r="D1673" s="35" t="s">
        <v>285</v>
      </c>
      <c r="E1673" s="227">
        <v>43466</v>
      </c>
      <c r="F1673" s="156">
        <v>107880.17</v>
      </c>
      <c r="G1673" s="131">
        <f t="shared" si="130"/>
        <v>19332.126464000001</v>
      </c>
      <c r="H1673" s="156">
        <v>72.13</v>
      </c>
      <c r="I1673" s="156">
        <v>0</v>
      </c>
      <c r="J1673" s="156">
        <v>0</v>
      </c>
      <c r="K1673" s="131">
        <f t="shared" si="131"/>
        <v>72.13</v>
      </c>
      <c r="L1673" s="134">
        <v>0.1792</v>
      </c>
    </row>
    <row r="1674" spans="3:12">
      <c r="C1674" s="161">
        <f t="shared" si="129"/>
        <v>2019</v>
      </c>
      <c r="D1674" s="35" t="s">
        <v>285</v>
      </c>
      <c r="E1674" s="227">
        <v>43497</v>
      </c>
      <c r="F1674" s="156">
        <v>99635.7</v>
      </c>
      <c r="G1674" s="131">
        <f t="shared" si="130"/>
        <v>17854.71744</v>
      </c>
      <c r="H1674" s="156">
        <v>109.69</v>
      </c>
      <c r="I1674" s="156">
        <v>7736.6</v>
      </c>
      <c r="J1674" s="156">
        <v>0</v>
      </c>
      <c r="K1674" s="131">
        <f t="shared" si="131"/>
        <v>7846.29</v>
      </c>
      <c r="L1674" s="134">
        <v>0.1792</v>
      </c>
    </row>
    <row r="1675" spans="3:12">
      <c r="C1675" s="161">
        <f t="shared" si="129"/>
        <v>2019</v>
      </c>
      <c r="D1675" s="35" t="s">
        <v>285</v>
      </c>
      <c r="E1675" s="227">
        <v>43525</v>
      </c>
      <c r="F1675" s="156">
        <v>82825.11</v>
      </c>
      <c r="G1675" s="131">
        <f t="shared" si="130"/>
        <v>14842.259711999999</v>
      </c>
      <c r="H1675" s="156">
        <v>0</v>
      </c>
      <c r="I1675" s="156">
        <v>0</v>
      </c>
      <c r="J1675" s="156">
        <v>0</v>
      </c>
      <c r="K1675" s="131">
        <f t="shared" si="131"/>
        <v>0</v>
      </c>
      <c r="L1675" s="134">
        <v>0.1792</v>
      </c>
    </row>
    <row r="1676" spans="3:12">
      <c r="C1676" s="161">
        <f t="shared" si="129"/>
        <v>2019</v>
      </c>
      <c r="D1676" s="35" t="s">
        <v>285</v>
      </c>
      <c r="E1676" s="227">
        <v>43556</v>
      </c>
      <c r="F1676" s="156">
        <v>96289.66</v>
      </c>
      <c r="G1676" s="131">
        <f t="shared" si="130"/>
        <v>17255.107071999999</v>
      </c>
      <c r="H1676" s="156">
        <v>621.99</v>
      </c>
      <c r="I1676" s="156">
        <v>0</v>
      </c>
      <c r="J1676" s="156">
        <v>1958</v>
      </c>
      <c r="K1676" s="131">
        <f t="shared" si="131"/>
        <v>2579.9899999999998</v>
      </c>
      <c r="L1676" s="134">
        <v>0.1792</v>
      </c>
    </row>
    <row r="1677" spans="3:12">
      <c r="C1677" s="161">
        <f t="shared" si="129"/>
        <v>2019</v>
      </c>
      <c r="D1677" s="35" t="s">
        <v>285</v>
      </c>
      <c r="E1677" s="227">
        <v>43586</v>
      </c>
      <c r="F1677" s="156">
        <v>90396.08</v>
      </c>
      <c r="G1677" s="131">
        <f t="shared" si="130"/>
        <v>16198.977536</v>
      </c>
      <c r="H1677" s="156">
        <v>998.89</v>
      </c>
      <c r="I1677" s="156">
        <v>0</v>
      </c>
      <c r="J1677" s="156">
        <v>0</v>
      </c>
      <c r="K1677" s="131">
        <f t="shared" si="131"/>
        <v>998.89</v>
      </c>
      <c r="L1677" s="134">
        <v>0.1792</v>
      </c>
    </row>
    <row r="1678" spans="3:12">
      <c r="C1678" s="161">
        <f t="shared" si="129"/>
        <v>2019</v>
      </c>
      <c r="D1678" s="35" t="s">
        <v>285</v>
      </c>
      <c r="E1678" s="227">
        <v>43617</v>
      </c>
      <c r="F1678" s="156">
        <v>100930.83</v>
      </c>
      <c r="G1678" s="131">
        <f t="shared" si="130"/>
        <v>18086.804736000002</v>
      </c>
      <c r="H1678" s="156">
        <v>368.59</v>
      </c>
      <c r="I1678" s="156">
        <v>0</v>
      </c>
      <c r="J1678" s="156">
        <v>0</v>
      </c>
      <c r="K1678" s="131">
        <f t="shared" si="131"/>
        <v>368.59</v>
      </c>
      <c r="L1678" s="134">
        <v>0.1792</v>
      </c>
    </row>
    <row r="1679" spans="3:12">
      <c r="C1679" s="161">
        <f t="shared" si="129"/>
        <v>2019</v>
      </c>
      <c r="D1679" s="35" t="s">
        <v>285</v>
      </c>
      <c r="E1679" s="227">
        <v>43647</v>
      </c>
      <c r="F1679" s="156">
        <v>98560.68</v>
      </c>
      <c r="G1679" s="131">
        <f t="shared" si="130"/>
        <v>17662.073855999999</v>
      </c>
      <c r="H1679" s="156">
        <v>0</v>
      </c>
      <c r="I1679" s="156">
        <v>0</v>
      </c>
      <c r="J1679" s="156">
        <v>0</v>
      </c>
      <c r="K1679" s="131">
        <f t="shared" si="131"/>
        <v>0</v>
      </c>
      <c r="L1679" s="134">
        <v>0.1792</v>
      </c>
    </row>
    <row r="1680" spans="3:12">
      <c r="C1680" s="161">
        <f t="shared" si="129"/>
        <v>2019</v>
      </c>
      <c r="D1680" s="35" t="s">
        <v>285</v>
      </c>
      <c r="E1680" s="227">
        <v>43678</v>
      </c>
      <c r="F1680" s="156">
        <v>115748.42</v>
      </c>
      <c r="G1680" s="131">
        <f t="shared" si="130"/>
        <v>20742.116864</v>
      </c>
      <c r="H1680" s="156">
        <v>0</v>
      </c>
      <c r="I1680" s="156">
        <v>0</v>
      </c>
      <c r="J1680" s="156">
        <v>0</v>
      </c>
      <c r="K1680" s="131">
        <f t="shared" si="131"/>
        <v>0</v>
      </c>
      <c r="L1680" s="134">
        <v>0.1792</v>
      </c>
    </row>
    <row r="1681" spans="3:12">
      <c r="C1681" s="161">
        <f t="shared" si="129"/>
        <v>2019</v>
      </c>
      <c r="D1681" s="35" t="s">
        <v>285</v>
      </c>
      <c r="E1681" s="227">
        <v>43709</v>
      </c>
      <c r="F1681" s="156">
        <v>131422.98000000001</v>
      </c>
      <c r="G1681" s="131">
        <f t="shared" si="130"/>
        <v>23550.998016000001</v>
      </c>
      <c r="H1681" s="156">
        <v>0</v>
      </c>
      <c r="I1681" s="156">
        <v>0</v>
      </c>
      <c r="J1681" s="156">
        <v>0</v>
      </c>
      <c r="K1681" s="131">
        <f t="shared" si="131"/>
        <v>0</v>
      </c>
      <c r="L1681" s="134">
        <v>0.1792</v>
      </c>
    </row>
    <row r="1682" spans="3:12">
      <c r="C1682" s="161">
        <f t="shared" si="129"/>
        <v>2019</v>
      </c>
      <c r="D1682" s="35" t="s">
        <v>285</v>
      </c>
      <c r="E1682" s="227">
        <v>43739</v>
      </c>
      <c r="F1682" s="156">
        <v>112779.73</v>
      </c>
      <c r="G1682" s="131">
        <f t="shared" si="130"/>
        <v>20210.127615999998</v>
      </c>
      <c r="H1682" s="156">
        <v>0</v>
      </c>
      <c r="I1682" s="156">
        <v>0</v>
      </c>
      <c r="J1682" s="156">
        <v>1595.93</v>
      </c>
      <c r="K1682" s="131">
        <f t="shared" si="131"/>
        <v>1595.93</v>
      </c>
      <c r="L1682" s="134">
        <v>0.1792</v>
      </c>
    </row>
    <row r="1683" spans="3:12">
      <c r="C1683" s="161">
        <f t="shared" si="129"/>
        <v>2019</v>
      </c>
      <c r="D1683" s="35" t="s">
        <v>285</v>
      </c>
      <c r="E1683" s="227">
        <v>43770</v>
      </c>
      <c r="F1683" s="156">
        <v>132792.12</v>
      </c>
      <c r="G1683" s="131">
        <f t="shared" si="130"/>
        <v>23796.347903999998</v>
      </c>
      <c r="H1683" s="156">
        <v>554.46</v>
      </c>
      <c r="I1683" s="156">
        <v>0</v>
      </c>
      <c r="J1683" s="156">
        <v>0</v>
      </c>
      <c r="K1683" s="131">
        <f t="shared" si="131"/>
        <v>554.46</v>
      </c>
      <c r="L1683" s="134">
        <v>0.1792</v>
      </c>
    </row>
    <row r="1684" spans="3:12">
      <c r="C1684" s="161">
        <f t="shared" si="129"/>
        <v>2019</v>
      </c>
      <c r="D1684" s="35" t="s">
        <v>285</v>
      </c>
      <c r="E1684" s="227">
        <v>43800</v>
      </c>
      <c r="F1684" s="156">
        <v>107955.37</v>
      </c>
      <c r="G1684" s="131">
        <f t="shared" si="130"/>
        <v>19345.602304</v>
      </c>
      <c r="H1684" s="156">
        <v>9536.11</v>
      </c>
      <c r="I1684" s="156">
        <v>0</v>
      </c>
      <c r="J1684" s="156">
        <v>0</v>
      </c>
      <c r="K1684" s="131">
        <f t="shared" si="131"/>
        <v>9536.11</v>
      </c>
      <c r="L1684" s="134">
        <v>0.1792</v>
      </c>
    </row>
    <row r="1685" spans="3:12">
      <c r="C1685" s="161">
        <f t="shared" si="129"/>
        <v>2020</v>
      </c>
      <c r="D1685" s="35" t="s">
        <v>285</v>
      </c>
      <c r="E1685" s="227">
        <v>43831</v>
      </c>
      <c r="F1685" s="156">
        <v>119737.43</v>
      </c>
      <c r="G1685" s="131">
        <f t="shared" si="130"/>
        <v>21456.947455999998</v>
      </c>
      <c r="H1685" s="156">
        <v>282.13</v>
      </c>
      <c r="I1685" s="156">
        <v>1658.49</v>
      </c>
      <c r="J1685" s="156">
        <v>0</v>
      </c>
      <c r="K1685" s="131">
        <f t="shared" si="131"/>
        <v>1940.62</v>
      </c>
      <c r="L1685" s="134">
        <v>0.1792</v>
      </c>
    </row>
    <row r="1686" spans="3:12">
      <c r="C1686" s="161">
        <f t="shared" si="129"/>
        <v>2020</v>
      </c>
      <c r="D1686" s="35" t="s">
        <v>285</v>
      </c>
      <c r="E1686" s="227">
        <v>43862</v>
      </c>
      <c r="F1686" s="156">
        <v>111672.63</v>
      </c>
      <c r="G1686" s="131">
        <f t="shared" si="130"/>
        <v>20011.735295999999</v>
      </c>
      <c r="H1686" s="156">
        <v>0.01</v>
      </c>
      <c r="I1686" s="156">
        <v>1710.82</v>
      </c>
      <c r="J1686" s="156">
        <v>0</v>
      </c>
      <c r="K1686" s="131">
        <f t="shared" si="131"/>
        <v>1710.83</v>
      </c>
      <c r="L1686" s="134">
        <v>0.1792</v>
      </c>
    </row>
    <row r="1687" spans="3:12">
      <c r="C1687" s="161">
        <f t="shared" si="129"/>
        <v>2020</v>
      </c>
      <c r="D1687" s="35" t="s">
        <v>285</v>
      </c>
      <c r="E1687" s="227">
        <v>43891</v>
      </c>
      <c r="F1687" s="156">
        <v>113614.48065</v>
      </c>
      <c r="G1687" s="131">
        <f t="shared" si="130"/>
        <v>20359.714932480001</v>
      </c>
      <c r="H1687" s="156">
        <v>2688.02</v>
      </c>
      <c r="I1687" s="156">
        <v>0</v>
      </c>
      <c r="J1687" s="156">
        <v>0</v>
      </c>
      <c r="K1687" s="131">
        <f t="shared" si="131"/>
        <v>2688.02</v>
      </c>
      <c r="L1687" s="134">
        <v>0.1792</v>
      </c>
    </row>
    <row r="1688" spans="3:12">
      <c r="C1688" s="161">
        <f t="shared" si="129"/>
        <v>2020</v>
      </c>
      <c r="D1688" s="35" t="s">
        <v>285</v>
      </c>
      <c r="E1688" s="227">
        <v>43922</v>
      </c>
      <c r="F1688" s="156">
        <v>106404.111825</v>
      </c>
      <c r="G1688" s="131">
        <f t="shared" si="130"/>
        <v>19067.616839039998</v>
      </c>
      <c r="H1688" s="156">
        <v>0</v>
      </c>
      <c r="I1688" s="156">
        <v>0</v>
      </c>
      <c r="J1688" s="156">
        <v>0</v>
      </c>
      <c r="K1688" s="131">
        <f t="shared" si="131"/>
        <v>0</v>
      </c>
      <c r="L1688" s="134">
        <v>0.1792</v>
      </c>
    </row>
    <row r="1689" spans="3:12">
      <c r="C1689" s="161">
        <f t="shared" si="129"/>
        <v>2020</v>
      </c>
      <c r="D1689" s="35" t="s">
        <v>285</v>
      </c>
      <c r="E1689" s="227">
        <v>43952</v>
      </c>
      <c r="F1689" s="156">
        <v>106132.21</v>
      </c>
      <c r="G1689" s="131">
        <f t="shared" si="130"/>
        <v>19018.892032</v>
      </c>
      <c r="H1689" s="156">
        <v>430.01</v>
      </c>
      <c r="I1689" s="156">
        <v>793.93</v>
      </c>
      <c r="J1689" s="156">
        <v>0</v>
      </c>
      <c r="K1689" s="131">
        <f t="shared" si="131"/>
        <v>1223.94</v>
      </c>
      <c r="L1689" s="134">
        <v>0.1792</v>
      </c>
    </row>
    <row r="1690" spans="3:12">
      <c r="C1690" s="161">
        <f t="shared" si="129"/>
        <v>2020</v>
      </c>
      <c r="D1690" s="35" t="s">
        <v>285</v>
      </c>
      <c r="E1690" s="227">
        <v>43983</v>
      </c>
      <c r="F1690" s="156">
        <v>100811.51</v>
      </c>
      <c r="G1690" s="131">
        <f t="shared" si="130"/>
        <v>18065.422591999999</v>
      </c>
      <c r="H1690" s="156">
        <v>0</v>
      </c>
      <c r="I1690" s="156">
        <v>0</v>
      </c>
      <c r="J1690" s="156">
        <v>0</v>
      </c>
      <c r="K1690" s="131">
        <f t="shared" si="131"/>
        <v>0</v>
      </c>
      <c r="L1690" s="134">
        <v>0.1792</v>
      </c>
    </row>
    <row r="1691" spans="3:12">
      <c r="C1691" s="161">
        <f t="shared" si="129"/>
        <v>2020</v>
      </c>
      <c r="D1691" s="35" t="s">
        <v>285</v>
      </c>
      <c r="E1691" s="227">
        <v>44013</v>
      </c>
      <c r="F1691" s="156">
        <v>100607.31</v>
      </c>
      <c r="G1691" s="131">
        <f t="shared" si="130"/>
        <v>18028.829952</v>
      </c>
      <c r="H1691" s="156">
        <v>6822.53</v>
      </c>
      <c r="I1691" s="156">
        <v>0</v>
      </c>
      <c r="J1691" s="156">
        <v>0</v>
      </c>
      <c r="K1691" s="131">
        <f t="shared" si="131"/>
        <v>6822.53</v>
      </c>
      <c r="L1691" s="134">
        <v>0.1792</v>
      </c>
    </row>
    <row r="1692" spans="3:12">
      <c r="C1692" s="161">
        <f t="shared" si="129"/>
        <v>2020</v>
      </c>
      <c r="D1692" s="35" t="s">
        <v>285</v>
      </c>
      <c r="E1692" s="227">
        <v>44044</v>
      </c>
      <c r="F1692" s="156">
        <v>108697.55</v>
      </c>
      <c r="G1692" s="131">
        <f t="shared" si="130"/>
        <v>19478.60096</v>
      </c>
      <c r="H1692" s="156">
        <v>152.62</v>
      </c>
      <c r="I1692" s="156">
        <v>0</v>
      </c>
      <c r="J1692" s="156">
        <v>156.01</v>
      </c>
      <c r="K1692" s="131">
        <f t="shared" si="131"/>
        <v>308.63</v>
      </c>
      <c r="L1692" s="134">
        <v>0.1792</v>
      </c>
    </row>
    <row r="1693" spans="3:12">
      <c r="C1693" s="161">
        <f t="shared" si="129"/>
        <v>2020</v>
      </c>
      <c r="D1693" s="35" t="s">
        <v>285</v>
      </c>
      <c r="E1693" s="227">
        <v>44075</v>
      </c>
      <c r="F1693" s="156">
        <v>122972.54</v>
      </c>
      <c r="G1693" s="131">
        <f t="shared" si="130"/>
        <v>22036.679167999999</v>
      </c>
      <c r="H1693" s="156">
        <v>6955.74</v>
      </c>
      <c r="I1693" s="156">
        <v>610.94000000000005</v>
      </c>
      <c r="J1693" s="156">
        <v>0</v>
      </c>
      <c r="K1693" s="131">
        <f t="shared" si="131"/>
        <v>7566.68</v>
      </c>
      <c r="L1693" s="134">
        <v>0.1792</v>
      </c>
    </row>
    <row r="1694" spans="3:12">
      <c r="C1694" s="161">
        <f t="shared" si="129"/>
        <v>2020</v>
      </c>
      <c r="D1694" s="35" t="s">
        <v>285</v>
      </c>
      <c r="E1694" s="227">
        <v>44105</v>
      </c>
      <c r="F1694" s="156">
        <v>125507.71</v>
      </c>
      <c r="G1694" s="131">
        <f t="shared" si="130"/>
        <v>22490.981632000003</v>
      </c>
      <c r="H1694" s="156">
        <v>0</v>
      </c>
      <c r="I1694" s="156">
        <v>0</v>
      </c>
      <c r="J1694" s="156">
        <v>0</v>
      </c>
      <c r="K1694" s="131">
        <f t="shared" si="131"/>
        <v>0</v>
      </c>
      <c r="L1694" s="134">
        <v>0.1792</v>
      </c>
    </row>
    <row r="1695" spans="3:12">
      <c r="C1695" s="161">
        <f t="shared" si="129"/>
        <v>2020</v>
      </c>
      <c r="D1695" s="35" t="s">
        <v>285</v>
      </c>
      <c r="E1695" s="227">
        <v>44136</v>
      </c>
      <c r="F1695" s="156">
        <v>113456.06</v>
      </c>
      <c r="G1695" s="131">
        <f t="shared" si="130"/>
        <v>20331.325951999999</v>
      </c>
      <c r="H1695" s="156">
        <v>1153.9100000000001</v>
      </c>
      <c r="I1695" s="156">
        <v>0</v>
      </c>
      <c r="J1695" s="156">
        <v>0</v>
      </c>
      <c r="K1695" s="131">
        <f t="shared" si="131"/>
        <v>1153.9100000000001</v>
      </c>
      <c r="L1695" s="134">
        <v>0.1792</v>
      </c>
    </row>
    <row r="1696" spans="3:12">
      <c r="C1696" s="161">
        <f t="shared" si="129"/>
        <v>2020</v>
      </c>
      <c r="D1696" s="35" t="s">
        <v>285</v>
      </c>
      <c r="E1696" s="227">
        <v>44166</v>
      </c>
      <c r="F1696" s="156">
        <v>121390.34</v>
      </c>
      <c r="G1696" s="131">
        <f t="shared" si="130"/>
        <v>21753.148927999999</v>
      </c>
      <c r="H1696" s="156">
        <v>838.51</v>
      </c>
      <c r="I1696" s="156">
        <v>2812.87</v>
      </c>
      <c r="J1696" s="156">
        <v>0</v>
      </c>
      <c r="K1696" s="131">
        <f t="shared" si="131"/>
        <v>3651.38</v>
      </c>
      <c r="L1696" s="134">
        <v>0.1792</v>
      </c>
    </row>
    <row r="1697" spans="3:12">
      <c r="C1697" s="161">
        <f t="shared" si="129"/>
        <v>2021</v>
      </c>
      <c r="D1697" s="35" t="s">
        <v>285</v>
      </c>
      <c r="E1697" s="227">
        <v>44197</v>
      </c>
      <c r="F1697" s="156">
        <v>119462.39</v>
      </c>
      <c r="G1697" s="131">
        <f t="shared" si="130"/>
        <v>21407.660287999999</v>
      </c>
      <c r="H1697" s="156">
        <v>136.16</v>
      </c>
      <c r="I1697" s="156">
        <v>1246.3</v>
      </c>
      <c r="J1697" s="156">
        <v>0</v>
      </c>
      <c r="K1697" s="131">
        <f t="shared" si="131"/>
        <v>1382.46</v>
      </c>
      <c r="L1697" s="134">
        <v>0.1792</v>
      </c>
    </row>
    <row r="1698" spans="3:12">
      <c r="C1698" s="161">
        <f t="shared" si="129"/>
        <v>2021</v>
      </c>
      <c r="D1698" s="35" t="s">
        <v>285</v>
      </c>
      <c r="E1698" s="227">
        <v>44229</v>
      </c>
      <c r="F1698" s="156">
        <v>118322.52</v>
      </c>
      <c r="G1698" s="131">
        <f t="shared" si="130"/>
        <v>21203.395584000002</v>
      </c>
      <c r="H1698" s="156">
        <v>5538.52</v>
      </c>
      <c r="I1698" s="156">
        <v>1665.18</v>
      </c>
      <c r="J1698" s="156">
        <v>0</v>
      </c>
      <c r="K1698" s="131">
        <f t="shared" si="131"/>
        <v>7203.7000000000007</v>
      </c>
      <c r="L1698" s="134">
        <v>0.1792</v>
      </c>
    </row>
    <row r="1699" spans="3:12">
      <c r="C1699" s="161">
        <f t="shared" si="129"/>
        <v>2021</v>
      </c>
      <c r="D1699" s="35" t="s">
        <v>285</v>
      </c>
      <c r="E1699" s="227">
        <v>44258</v>
      </c>
      <c r="F1699" s="156">
        <v>105225.38</v>
      </c>
      <c r="G1699" s="131">
        <f t="shared" si="130"/>
        <v>18856.388096000002</v>
      </c>
      <c r="H1699" s="156">
        <v>18619.41</v>
      </c>
      <c r="I1699" s="156">
        <v>3993.42</v>
      </c>
      <c r="J1699" s="156">
        <v>0</v>
      </c>
      <c r="K1699" s="131">
        <f t="shared" si="131"/>
        <v>22612.83</v>
      </c>
      <c r="L1699" s="134">
        <v>0.1792</v>
      </c>
    </row>
    <row r="1700" spans="3:12">
      <c r="C1700" s="161">
        <f t="shared" si="129"/>
        <v>2021</v>
      </c>
      <c r="D1700" s="35" t="s">
        <v>285</v>
      </c>
      <c r="E1700" s="227">
        <v>44290</v>
      </c>
      <c r="F1700" s="156">
        <v>123673.31</v>
      </c>
      <c r="G1700" s="131">
        <f t="shared" si="130"/>
        <v>22162.257151999998</v>
      </c>
      <c r="H1700" s="156">
        <v>6590.99</v>
      </c>
      <c r="I1700" s="156">
        <v>0</v>
      </c>
      <c r="J1700" s="156">
        <v>0</v>
      </c>
      <c r="K1700" s="131">
        <f t="shared" si="131"/>
        <v>6590.99</v>
      </c>
      <c r="L1700" s="134">
        <v>0.1792</v>
      </c>
    </row>
    <row r="1701" spans="3:12">
      <c r="C1701" s="161">
        <f t="shared" si="129"/>
        <v>2021</v>
      </c>
      <c r="D1701" s="35" t="s">
        <v>285</v>
      </c>
      <c r="E1701" s="227">
        <v>44321</v>
      </c>
      <c r="F1701" s="156">
        <v>112473.05</v>
      </c>
      <c r="G1701" s="131">
        <f t="shared" si="130"/>
        <v>20155.170559999999</v>
      </c>
      <c r="H1701" s="156">
        <v>3412.57</v>
      </c>
      <c r="I1701" s="156">
        <v>0</v>
      </c>
      <c r="J1701" s="156">
        <v>0</v>
      </c>
      <c r="K1701" s="131">
        <f t="shared" si="131"/>
        <v>3412.57</v>
      </c>
      <c r="L1701" s="134">
        <v>0.1792</v>
      </c>
    </row>
    <row r="1702" spans="3:12">
      <c r="C1702" s="161">
        <f t="shared" si="129"/>
        <v>2021</v>
      </c>
      <c r="D1702" s="35" t="s">
        <v>285</v>
      </c>
      <c r="E1702" s="227">
        <v>44353</v>
      </c>
      <c r="F1702" s="156">
        <v>111735.62</v>
      </c>
      <c r="G1702" s="131">
        <f t="shared" si="130"/>
        <v>20023.023104</v>
      </c>
      <c r="H1702" s="156">
        <v>1475.62</v>
      </c>
      <c r="I1702" s="156">
        <v>0</v>
      </c>
      <c r="J1702" s="156">
        <v>0</v>
      </c>
      <c r="K1702" s="131">
        <f t="shared" si="131"/>
        <v>1475.62</v>
      </c>
      <c r="L1702" s="134">
        <v>0.1792</v>
      </c>
    </row>
    <row r="1703" spans="3:12">
      <c r="C1703" s="161">
        <f t="shared" si="129"/>
        <v>2015</v>
      </c>
      <c r="D1703" s="35" t="s">
        <v>286</v>
      </c>
      <c r="E1703" s="227">
        <v>42309</v>
      </c>
      <c r="F1703" s="156">
        <v>5713097.7999999998</v>
      </c>
      <c r="G1703" s="131">
        <f t="shared" si="130"/>
        <v>1023787.12576</v>
      </c>
      <c r="H1703" s="156">
        <v>986464.81</v>
      </c>
      <c r="I1703" s="156">
        <v>202516.65</v>
      </c>
      <c r="J1703" s="156">
        <v>0</v>
      </c>
      <c r="K1703" s="131">
        <f t="shared" si="131"/>
        <v>1188981.46</v>
      </c>
      <c r="L1703" s="134">
        <v>0.1792</v>
      </c>
    </row>
    <row r="1704" spans="3:12">
      <c r="C1704" s="161">
        <f t="shared" si="129"/>
        <v>2015</v>
      </c>
      <c r="D1704" s="35" t="s">
        <v>286</v>
      </c>
      <c r="E1704" s="227">
        <v>42339</v>
      </c>
      <c r="F1704" s="156">
        <v>5422774.4500000002</v>
      </c>
      <c r="G1704" s="131">
        <f t="shared" si="130"/>
        <v>971761.18144000007</v>
      </c>
      <c r="H1704" s="156">
        <v>664982.63</v>
      </c>
      <c r="I1704" s="156">
        <v>119099.83</v>
      </c>
      <c r="J1704" s="156">
        <v>0</v>
      </c>
      <c r="K1704" s="131">
        <f t="shared" si="131"/>
        <v>784082.46</v>
      </c>
      <c r="L1704" s="134">
        <v>0.1792</v>
      </c>
    </row>
    <row r="1705" spans="3:12">
      <c r="C1705" s="161">
        <f t="shared" si="129"/>
        <v>2016</v>
      </c>
      <c r="D1705" s="35" t="s">
        <v>286</v>
      </c>
      <c r="E1705" s="227">
        <v>42370</v>
      </c>
      <c r="F1705" s="156">
        <v>5729069.5099999998</v>
      </c>
      <c r="G1705" s="131">
        <f t="shared" si="130"/>
        <v>1026649.256192</v>
      </c>
      <c r="H1705" s="156">
        <v>2044960.62</v>
      </c>
      <c r="I1705" s="156">
        <v>760668.85</v>
      </c>
      <c r="J1705" s="156">
        <v>0</v>
      </c>
      <c r="K1705" s="131">
        <f t="shared" si="131"/>
        <v>2805629.47</v>
      </c>
      <c r="L1705" s="134">
        <v>0.1792</v>
      </c>
    </row>
    <row r="1706" spans="3:12">
      <c r="C1706" s="161">
        <f t="shared" si="129"/>
        <v>2016</v>
      </c>
      <c r="D1706" s="35" t="s">
        <v>286</v>
      </c>
      <c r="E1706" s="227">
        <v>42401</v>
      </c>
      <c r="F1706" s="156">
        <v>5942281.8899999997</v>
      </c>
      <c r="G1706" s="131">
        <f t="shared" si="130"/>
        <v>1064856.914688</v>
      </c>
      <c r="H1706" s="156">
        <v>792307.22</v>
      </c>
      <c r="I1706" s="156">
        <v>68867.5</v>
      </c>
      <c r="J1706" s="156">
        <v>1868.78</v>
      </c>
      <c r="K1706" s="131">
        <f t="shared" si="131"/>
        <v>863043.5</v>
      </c>
      <c r="L1706" s="134">
        <v>0.1792</v>
      </c>
    </row>
    <row r="1707" spans="3:12">
      <c r="C1707" s="161">
        <f t="shared" si="129"/>
        <v>2016</v>
      </c>
      <c r="D1707" s="35" t="s">
        <v>286</v>
      </c>
      <c r="E1707" s="227">
        <v>42430</v>
      </c>
      <c r="F1707" s="156">
        <v>5686664.0700000003</v>
      </c>
      <c r="G1707" s="131">
        <f t="shared" si="130"/>
        <v>1019050.2013440001</v>
      </c>
      <c r="H1707" s="156">
        <v>5257006</v>
      </c>
      <c r="I1707" s="156">
        <v>536677.24</v>
      </c>
      <c r="J1707" s="156">
        <v>7634</v>
      </c>
      <c r="K1707" s="131">
        <f t="shared" si="131"/>
        <v>5801317.2400000002</v>
      </c>
      <c r="L1707" s="134">
        <v>0.1792</v>
      </c>
    </row>
    <row r="1708" spans="3:12">
      <c r="C1708" s="161">
        <f t="shared" si="129"/>
        <v>2016</v>
      </c>
      <c r="D1708" s="35" t="s">
        <v>286</v>
      </c>
      <c r="E1708" s="227">
        <v>42461</v>
      </c>
      <c r="F1708" s="156">
        <v>6555102.6200000001</v>
      </c>
      <c r="G1708" s="131">
        <f t="shared" si="130"/>
        <v>1174674.3895040001</v>
      </c>
      <c r="H1708" s="156">
        <v>3290252.88</v>
      </c>
      <c r="I1708" s="156">
        <v>162481.41</v>
      </c>
      <c r="J1708" s="156">
        <v>18688.64</v>
      </c>
      <c r="K1708" s="131">
        <f t="shared" si="131"/>
        <v>3471422.93</v>
      </c>
      <c r="L1708" s="134">
        <v>0.1792</v>
      </c>
    </row>
    <row r="1709" spans="3:12">
      <c r="C1709" s="161">
        <f t="shared" si="129"/>
        <v>2016</v>
      </c>
      <c r="D1709" s="35" t="s">
        <v>286</v>
      </c>
      <c r="E1709" s="227">
        <v>42491</v>
      </c>
      <c r="F1709" s="156">
        <v>5862559.6399999997</v>
      </c>
      <c r="G1709" s="131">
        <f t="shared" si="130"/>
        <v>1050570.6874879999</v>
      </c>
      <c r="H1709" s="156">
        <v>3272299.72</v>
      </c>
      <c r="I1709" s="156">
        <v>69162.17</v>
      </c>
      <c r="J1709" s="156">
        <v>88599.74</v>
      </c>
      <c r="K1709" s="131">
        <f t="shared" si="131"/>
        <v>3430061.6300000004</v>
      </c>
      <c r="L1709" s="134">
        <v>0.1792</v>
      </c>
    </row>
    <row r="1710" spans="3:12">
      <c r="C1710" s="161">
        <f t="shared" si="129"/>
        <v>2016</v>
      </c>
      <c r="D1710" s="35" t="s">
        <v>286</v>
      </c>
      <c r="E1710" s="227">
        <v>42522</v>
      </c>
      <c r="F1710" s="156">
        <v>5716576.2699999996</v>
      </c>
      <c r="G1710" s="131">
        <f t="shared" si="130"/>
        <v>1024410.4675839999</v>
      </c>
      <c r="H1710" s="156">
        <v>1596462.12</v>
      </c>
      <c r="I1710" s="156">
        <v>55470.25</v>
      </c>
      <c r="J1710" s="156">
        <v>118334.31</v>
      </c>
      <c r="K1710" s="131">
        <f t="shared" si="131"/>
        <v>1770266.6800000002</v>
      </c>
      <c r="L1710" s="134">
        <v>0.1792</v>
      </c>
    </row>
    <row r="1711" spans="3:12">
      <c r="C1711" s="161">
        <f t="shared" si="129"/>
        <v>2016</v>
      </c>
      <c r="D1711" s="35" t="s">
        <v>286</v>
      </c>
      <c r="E1711" s="227">
        <v>42552</v>
      </c>
      <c r="F1711" s="156">
        <v>6562757.0700000003</v>
      </c>
      <c r="G1711" s="131">
        <f t="shared" si="130"/>
        <v>1176046.0669440001</v>
      </c>
      <c r="H1711" s="156">
        <v>2900929.67</v>
      </c>
      <c r="I1711" s="156">
        <v>90439.6</v>
      </c>
      <c r="J1711" s="156">
        <v>16795.43</v>
      </c>
      <c r="K1711" s="131">
        <f t="shared" si="131"/>
        <v>3008164.7</v>
      </c>
      <c r="L1711" s="134">
        <v>0.1792</v>
      </c>
    </row>
    <row r="1712" spans="3:12">
      <c r="C1712" s="161">
        <f t="shared" si="129"/>
        <v>2016</v>
      </c>
      <c r="D1712" s="35" t="s">
        <v>286</v>
      </c>
      <c r="E1712" s="227">
        <v>42583</v>
      </c>
      <c r="F1712" s="156">
        <v>6349245.21</v>
      </c>
      <c r="G1712" s="131">
        <f t="shared" si="130"/>
        <v>1137784.7416320001</v>
      </c>
      <c r="H1712" s="156">
        <v>1760252.19</v>
      </c>
      <c r="I1712" s="156">
        <v>130593.9</v>
      </c>
      <c r="J1712" s="156">
        <v>25287.34</v>
      </c>
      <c r="K1712" s="131">
        <f t="shared" si="131"/>
        <v>1916133.43</v>
      </c>
      <c r="L1712" s="134">
        <v>0.1792</v>
      </c>
    </row>
    <row r="1713" spans="3:12">
      <c r="C1713" s="161">
        <f t="shared" si="129"/>
        <v>2016</v>
      </c>
      <c r="D1713" s="35" t="s">
        <v>286</v>
      </c>
      <c r="E1713" s="227">
        <v>42614</v>
      </c>
      <c r="F1713" s="156">
        <v>6338958.5899999999</v>
      </c>
      <c r="G1713" s="131">
        <f t="shared" si="130"/>
        <v>1135941.3793279999</v>
      </c>
      <c r="H1713" s="156">
        <v>3246409.16</v>
      </c>
      <c r="I1713" s="156">
        <v>127612.81</v>
      </c>
      <c r="J1713" s="156">
        <v>0</v>
      </c>
      <c r="K1713" s="131">
        <f t="shared" si="131"/>
        <v>3374021.97</v>
      </c>
      <c r="L1713" s="134">
        <v>0.1792</v>
      </c>
    </row>
    <row r="1714" spans="3:12">
      <c r="C1714" s="161">
        <f t="shared" si="129"/>
        <v>2016</v>
      </c>
      <c r="D1714" s="35" t="s">
        <v>286</v>
      </c>
      <c r="E1714" s="227">
        <v>42644</v>
      </c>
      <c r="F1714" s="156">
        <v>6690181.1299999999</v>
      </c>
      <c r="G1714" s="131">
        <f t="shared" si="130"/>
        <v>1198880.4584959999</v>
      </c>
      <c r="H1714" s="156">
        <v>2820795.28</v>
      </c>
      <c r="I1714" s="156">
        <v>300222.25</v>
      </c>
      <c r="J1714" s="156">
        <v>38559.47</v>
      </c>
      <c r="K1714" s="131">
        <f t="shared" si="131"/>
        <v>3159577</v>
      </c>
      <c r="L1714" s="134">
        <v>0.1792</v>
      </c>
    </row>
    <row r="1715" spans="3:12">
      <c r="C1715" s="161">
        <f t="shared" si="129"/>
        <v>2016</v>
      </c>
      <c r="D1715" s="35" t="s">
        <v>286</v>
      </c>
      <c r="E1715" s="227">
        <v>42675</v>
      </c>
      <c r="F1715" s="156">
        <v>7002787.2699999996</v>
      </c>
      <c r="G1715" s="131">
        <f t="shared" si="130"/>
        <v>1254899.4787839998</v>
      </c>
      <c r="H1715" s="156">
        <v>1057311.8899999999</v>
      </c>
      <c r="I1715" s="156">
        <v>477264.52</v>
      </c>
      <c r="J1715" s="156">
        <v>41788.03</v>
      </c>
      <c r="K1715" s="131">
        <f t="shared" si="131"/>
        <v>1576364.44</v>
      </c>
      <c r="L1715" s="134">
        <v>0.1792</v>
      </c>
    </row>
    <row r="1716" spans="3:12">
      <c r="C1716" s="161">
        <f t="shared" si="129"/>
        <v>2016</v>
      </c>
      <c r="D1716" s="35" t="s">
        <v>286</v>
      </c>
      <c r="E1716" s="227">
        <v>42705</v>
      </c>
      <c r="F1716" s="156">
        <v>6808404.8399999999</v>
      </c>
      <c r="G1716" s="131">
        <f t="shared" si="130"/>
        <v>1220066.1473280001</v>
      </c>
      <c r="H1716" s="156">
        <v>1196877.1299999999</v>
      </c>
      <c r="I1716" s="156">
        <v>339016.87</v>
      </c>
      <c r="J1716" s="156">
        <v>38027.919999999998</v>
      </c>
      <c r="K1716" s="131">
        <f t="shared" si="131"/>
        <v>1573921.92</v>
      </c>
      <c r="L1716" s="134">
        <v>0.1792</v>
      </c>
    </row>
    <row r="1717" spans="3:12">
      <c r="C1717" s="161">
        <f t="shared" si="129"/>
        <v>2017</v>
      </c>
      <c r="D1717" s="35" t="s">
        <v>286</v>
      </c>
      <c r="E1717" s="227">
        <v>42736</v>
      </c>
      <c r="F1717" s="156">
        <v>7102454.54</v>
      </c>
      <c r="G1717" s="131">
        <f t="shared" si="130"/>
        <v>1272759.853568</v>
      </c>
      <c r="H1717" s="156">
        <v>922710.19</v>
      </c>
      <c r="I1717" s="156">
        <v>393686.53</v>
      </c>
      <c r="J1717" s="156">
        <v>3918.16</v>
      </c>
      <c r="K1717" s="131">
        <f t="shared" si="131"/>
        <v>1320314.8799999999</v>
      </c>
      <c r="L1717" s="134">
        <v>0.1792</v>
      </c>
    </row>
    <row r="1718" spans="3:12">
      <c r="C1718" s="161">
        <f t="shared" si="129"/>
        <v>2017</v>
      </c>
      <c r="D1718" s="35" t="s">
        <v>286</v>
      </c>
      <c r="E1718" s="227">
        <v>42767</v>
      </c>
      <c r="F1718" s="156">
        <v>6873548.9000000004</v>
      </c>
      <c r="G1718" s="131">
        <f t="shared" si="130"/>
        <v>1231739.96288</v>
      </c>
      <c r="H1718" s="156">
        <v>406996</v>
      </c>
      <c r="I1718" s="156">
        <v>106661.95</v>
      </c>
      <c r="J1718" s="156">
        <v>3000</v>
      </c>
      <c r="K1718" s="131">
        <f t="shared" si="131"/>
        <v>516657.95</v>
      </c>
      <c r="L1718" s="134">
        <v>0.1792</v>
      </c>
    </row>
    <row r="1719" spans="3:12">
      <c r="C1719" s="161">
        <f t="shared" si="129"/>
        <v>2017</v>
      </c>
      <c r="D1719" s="35" t="s">
        <v>286</v>
      </c>
      <c r="E1719" s="227">
        <v>42795</v>
      </c>
      <c r="F1719" s="156">
        <v>6574135.7300000004</v>
      </c>
      <c r="G1719" s="131">
        <f t="shared" si="130"/>
        <v>1178085.1228160001</v>
      </c>
      <c r="H1719" s="156">
        <v>3773887.48</v>
      </c>
      <c r="I1719" s="156">
        <v>380173.9</v>
      </c>
      <c r="J1719" s="156">
        <v>39613.47</v>
      </c>
      <c r="K1719" s="131">
        <f t="shared" si="131"/>
        <v>4193674.85</v>
      </c>
      <c r="L1719" s="134">
        <v>0.1792</v>
      </c>
    </row>
    <row r="1720" spans="3:12">
      <c r="C1720" s="161">
        <f t="shared" si="129"/>
        <v>2017</v>
      </c>
      <c r="D1720" s="35" t="s">
        <v>286</v>
      </c>
      <c r="E1720" s="227">
        <v>42826</v>
      </c>
      <c r="F1720" s="156">
        <v>6714499.3600000003</v>
      </c>
      <c r="G1720" s="131">
        <f t="shared" si="130"/>
        <v>1203238.285312</v>
      </c>
      <c r="H1720" s="156">
        <v>2165791.37</v>
      </c>
      <c r="I1720" s="156">
        <v>343833.9</v>
      </c>
      <c r="J1720" s="156">
        <v>0</v>
      </c>
      <c r="K1720" s="131">
        <f t="shared" si="131"/>
        <v>2509625.27</v>
      </c>
      <c r="L1720" s="134">
        <v>0.1792</v>
      </c>
    </row>
    <row r="1721" spans="3:12">
      <c r="C1721" s="161">
        <f t="shared" si="129"/>
        <v>2017</v>
      </c>
      <c r="D1721" s="35" t="s">
        <v>286</v>
      </c>
      <c r="E1721" s="227">
        <v>42856</v>
      </c>
      <c r="F1721" s="156">
        <v>6514560.5800000001</v>
      </c>
      <c r="G1721" s="131">
        <f t="shared" si="130"/>
        <v>1167409.255936</v>
      </c>
      <c r="H1721" s="156">
        <v>719702.58</v>
      </c>
      <c r="I1721" s="156">
        <v>269244.21000000002</v>
      </c>
      <c r="J1721" s="156">
        <v>14882.6</v>
      </c>
      <c r="K1721" s="131">
        <f t="shared" si="131"/>
        <v>1003829.39</v>
      </c>
      <c r="L1721" s="134">
        <v>0.1792</v>
      </c>
    </row>
    <row r="1722" spans="3:12">
      <c r="C1722" s="161">
        <f t="shared" si="129"/>
        <v>2017</v>
      </c>
      <c r="D1722" s="35" t="s">
        <v>286</v>
      </c>
      <c r="E1722" s="227">
        <v>42887</v>
      </c>
      <c r="F1722" s="156">
        <v>6680231.1600000001</v>
      </c>
      <c r="G1722" s="131">
        <f t="shared" si="130"/>
        <v>1197097.4238720001</v>
      </c>
      <c r="H1722" s="156">
        <v>1050636.3899999999</v>
      </c>
      <c r="I1722" s="156">
        <v>333253</v>
      </c>
      <c r="J1722" s="156">
        <v>0</v>
      </c>
      <c r="K1722" s="131">
        <f t="shared" si="131"/>
        <v>1383889.39</v>
      </c>
      <c r="L1722" s="134">
        <v>0.1792</v>
      </c>
    </row>
    <row r="1723" spans="3:12">
      <c r="C1723" s="161">
        <f t="shared" si="129"/>
        <v>2017</v>
      </c>
      <c r="D1723" s="35" t="s">
        <v>286</v>
      </c>
      <c r="E1723" s="227">
        <v>42917</v>
      </c>
      <c r="F1723" s="156">
        <v>7047206.7599999998</v>
      </c>
      <c r="G1723" s="131">
        <f t="shared" si="130"/>
        <v>1262859.4513919998</v>
      </c>
      <c r="H1723" s="156">
        <v>5273096.29</v>
      </c>
      <c r="I1723" s="156">
        <v>2013733.75</v>
      </c>
      <c r="J1723" s="156">
        <v>9985.5400000000009</v>
      </c>
      <c r="K1723" s="131">
        <f t="shared" si="131"/>
        <v>7296815.5800000001</v>
      </c>
      <c r="L1723" s="134">
        <v>0.1792</v>
      </c>
    </row>
    <row r="1724" spans="3:12">
      <c r="C1724" s="161">
        <f t="shared" si="129"/>
        <v>2017</v>
      </c>
      <c r="D1724" s="35" t="s">
        <v>286</v>
      </c>
      <c r="E1724" s="227">
        <v>42948</v>
      </c>
      <c r="F1724" s="156">
        <v>7640126.4699999997</v>
      </c>
      <c r="G1724" s="131">
        <f t="shared" si="130"/>
        <v>1369110.6634239999</v>
      </c>
      <c r="H1724" s="156">
        <v>2831190.9</v>
      </c>
      <c r="I1724" s="156">
        <v>485267.83</v>
      </c>
      <c r="J1724" s="156">
        <v>10373.290000000001</v>
      </c>
      <c r="K1724" s="131">
        <f t="shared" si="131"/>
        <v>3326832.02</v>
      </c>
      <c r="L1724" s="134">
        <v>0.1792</v>
      </c>
    </row>
    <row r="1725" spans="3:12">
      <c r="C1725" s="161">
        <f t="shared" si="129"/>
        <v>2017</v>
      </c>
      <c r="D1725" s="35" t="s">
        <v>286</v>
      </c>
      <c r="E1725" s="227">
        <v>42979</v>
      </c>
      <c r="F1725" s="156">
        <v>7933860.3899999997</v>
      </c>
      <c r="G1725" s="131">
        <f t="shared" si="130"/>
        <v>1421747.781888</v>
      </c>
      <c r="H1725" s="156">
        <v>1725248.68</v>
      </c>
      <c r="I1725" s="156">
        <v>274182.18</v>
      </c>
      <c r="J1725" s="156">
        <v>0</v>
      </c>
      <c r="K1725" s="131">
        <f t="shared" si="131"/>
        <v>1999430.8599999999</v>
      </c>
      <c r="L1725" s="134">
        <v>0.1792</v>
      </c>
    </row>
    <row r="1726" spans="3:12">
      <c r="C1726" s="161">
        <f t="shared" si="129"/>
        <v>2017</v>
      </c>
      <c r="D1726" s="35" t="s">
        <v>286</v>
      </c>
      <c r="E1726" s="227">
        <v>43009</v>
      </c>
      <c r="F1726" s="156">
        <v>7783500.6500000004</v>
      </c>
      <c r="G1726" s="131">
        <f t="shared" si="130"/>
        <v>1394803.31648</v>
      </c>
      <c r="H1726" s="156">
        <v>960813.43</v>
      </c>
      <c r="I1726" s="156">
        <v>362518.79</v>
      </c>
      <c r="J1726" s="156">
        <v>0</v>
      </c>
      <c r="K1726" s="131">
        <f t="shared" si="131"/>
        <v>1323332.22</v>
      </c>
      <c r="L1726" s="134">
        <v>0.1792</v>
      </c>
    </row>
    <row r="1727" spans="3:12">
      <c r="C1727" s="161">
        <f t="shared" si="129"/>
        <v>2017</v>
      </c>
      <c r="D1727" s="35" t="s">
        <v>286</v>
      </c>
      <c r="E1727" s="227">
        <v>43040</v>
      </c>
      <c r="F1727" s="156">
        <v>7777809.1500000004</v>
      </c>
      <c r="G1727" s="131">
        <f t="shared" si="130"/>
        <v>1393783.39968</v>
      </c>
      <c r="H1727" s="156">
        <v>2588221.73</v>
      </c>
      <c r="I1727" s="156">
        <v>144071.84</v>
      </c>
      <c r="J1727" s="156" t="s">
        <v>267</v>
      </c>
      <c r="K1727" s="131">
        <f t="shared" si="131"/>
        <v>2732293.57</v>
      </c>
      <c r="L1727" s="134">
        <v>0.1792</v>
      </c>
    </row>
    <row r="1728" spans="3:12">
      <c r="C1728" s="161">
        <f t="shared" si="129"/>
        <v>2017</v>
      </c>
      <c r="D1728" s="35" t="s">
        <v>286</v>
      </c>
      <c r="E1728" s="227">
        <v>43070</v>
      </c>
      <c r="F1728" s="156">
        <v>7816047.9800000004</v>
      </c>
      <c r="G1728" s="131">
        <f t="shared" si="130"/>
        <v>1400635.7980160001</v>
      </c>
      <c r="H1728" s="156">
        <v>2660811.62</v>
      </c>
      <c r="I1728" s="156">
        <v>49601.31</v>
      </c>
      <c r="J1728" s="156">
        <v>0</v>
      </c>
      <c r="K1728" s="131">
        <f t="shared" si="131"/>
        <v>2710412.93</v>
      </c>
      <c r="L1728" s="134">
        <v>0.1792</v>
      </c>
    </row>
    <row r="1729" spans="3:12">
      <c r="C1729" s="161">
        <f t="shared" si="129"/>
        <v>2018</v>
      </c>
      <c r="D1729" s="35" t="s">
        <v>286</v>
      </c>
      <c r="E1729" s="227">
        <v>43101</v>
      </c>
      <c r="F1729" s="156">
        <v>7478031.1600000001</v>
      </c>
      <c r="G1729" s="131">
        <f t="shared" si="130"/>
        <v>1340063.1838720001</v>
      </c>
      <c r="H1729" s="156">
        <v>1222270.57</v>
      </c>
      <c r="I1729" s="156">
        <v>1682916.33</v>
      </c>
      <c r="J1729" s="156">
        <v>0</v>
      </c>
      <c r="K1729" s="131">
        <f t="shared" si="131"/>
        <v>2905186.9000000004</v>
      </c>
      <c r="L1729" s="134">
        <v>0.1792</v>
      </c>
    </row>
    <row r="1730" spans="3:12">
      <c r="C1730" s="161">
        <f t="shared" si="129"/>
        <v>2018</v>
      </c>
      <c r="D1730" s="35" t="s">
        <v>286</v>
      </c>
      <c r="E1730" s="227">
        <v>43132</v>
      </c>
      <c r="F1730" s="156">
        <v>8230326.2699999996</v>
      </c>
      <c r="G1730" s="131">
        <f t="shared" si="130"/>
        <v>1474874.467584</v>
      </c>
      <c r="H1730" s="156">
        <v>1989150.22</v>
      </c>
      <c r="I1730" s="156">
        <v>41321.17</v>
      </c>
      <c r="J1730" s="156">
        <v>1692.98</v>
      </c>
      <c r="K1730" s="131">
        <f t="shared" si="131"/>
        <v>2032164.3699999999</v>
      </c>
      <c r="L1730" s="134">
        <v>0.1792</v>
      </c>
    </row>
    <row r="1731" spans="3:12">
      <c r="C1731" s="161">
        <f t="shared" si="129"/>
        <v>2018</v>
      </c>
      <c r="D1731" s="35" t="s">
        <v>286</v>
      </c>
      <c r="E1731" s="227">
        <v>43160</v>
      </c>
      <c r="F1731" s="156">
        <v>7142259</v>
      </c>
      <c r="G1731" s="131">
        <f t="shared" si="130"/>
        <v>1279892.8128</v>
      </c>
      <c r="H1731" s="156">
        <v>2428734.48</v>
      </c>
      <c r="I1731" s="156">
        <v>836239.49</v>
      </c>
      <c r="J1731" s="156">
        <v>0</v>
      </c>
      <c r="K1731" s="131">
        <f t="shared" si="131"/>
        <v>3264973.9699999997</v>
      </c>
      <c r="L1731" s="134">
        <v>0.1792</v>
      </c>
    </row>
    <row r="1732" spans="3:12">
      <c r="C1732" s="161">
        <f t="shared" ref="C1732:C1795" si="132">YEAR(E1732)</f>
        <v>2018</v>
      </c>
      <c r="D1732" s="35" t="s">
        <v>286</v>
      </c>
      <c r="E1732" s="227">
        <v>43191</v>
      </c>
      <c r="F1732" s="156">
        <v>7760412.2400000002</v>
      </c>
      <c r="G1732" s="131">
        <f t="shared" ref="G1732:G1795" si="133">F1732*L1732</f>
        <v>1390665.873408</v>
      </c>
      <c r="H1732" s="156">
        <v>2206380.85</v>
      </c>
      <c r="I1732" s="156">
        <v>138528.21</v>
      </c>
      <c r="J1732" s="156">
        <v>0</v>
      </c>
      <c r="K1732" s="131">
        <f t="shared" ref="K1732:K1795" si="134">SUM(H1732:J1732)</f>
        <v>2344909.06</v>
      </c>
      <c r="L1732" s="134">
        <v>0.1792</v>
      </c>
    </row>
    <row r="1733" spans="3:12">
      <c r="C1733" s="161">
        <f t="shared" si="132"/>
        <v>2018</v>
      </c>
      <c r="D1733" s="35" t="s">
        <v>286</v>
      </c>
      <c r="E1733" s="227">
        <v>43221</v>
      </c>
      <c r="F1733" s="156">
        <v>7940156.6799999997</v>
      </c>
      <c r="G1733" s="131">
        <f t="shared" si="133"/>
        <v>1422876.077056</v>
      </c>
      <c r="H1733" s="156">
        <v>3598513.64</v>
      </c>
      <c r="I1733" s="156">
        <v>801895.07</v>
      </c>
      <c r="J1733" s="156">
        <v>0</v>
      </c>
      <c r="K1733" s="131">
        <f t="shared" si="134"/>
        <v>4400408.71</v>
      </c>
      <c r="L1733" s="134">
        <v>0.1792</v>
      </c>
    </row>
    <row r="1734" spans="3:12">
      <c r="C1734" s="161">
        <f t="shared" si="132"/>
        <v>2018</v>
      </c>
      <c r="D1734" s="35" t="s">
        <v>286</v>
      </c>
      <c r="E1734" s="227">
        <v>43252</v>
      </c>
      <c r="F1734" s="156">
        <v>7281040.7999999998</v>
      </c>
      <c r="G1734" s="131">
        <f t="shared" si="133"/>
        <v>1304762.5113599999</v>
      </c>
      <c r="H1734" s="156">
        <v>1730007.19</v>
      </c>
      <c r="I1734" s="156">
        <v>454118.42</v>
      </c>
      <c r="J1734" s="156">
        <v>2010</v>
      </c>
      <c r="K1734" s="131">
        <f t="shared" si="134"/>
        <v>2186135.61</v>
      </c>
      <c r="L1734" s="134">
        <v>0.1792</v>
      </c>
    </row>
    <row r="1735" spans="3:12">
      <c r="C1735" s="161">
        <f t="shared" si="132"/>
        <v>2018</v>
      </c>
      <c r="D1735" s="35" t="s">
        <v>286</v>
      </c>
      <c r="E1735" s="227">
        <v>43282</v>
      </c>
      <c r="F1735" s="156">
        <v>7707937.6299999999</v>
      </c>
      <c r="G1735" s="131">
        <f t="shared" si="133"/>
        <v>1381262.4232959999</v>
      </c>
      <c r="H1735" s="156">
        <v>2044959.04</v>
      </c>
      <c r="I1735" s="156">
        <v>1085485.1399999999</v>
      </c>
      <c r="J1735" s="156">
        <v>0</v>
      </c>
      <c r="K1735" s="131">
        <f t="shared" si="134"/>
        <v>3130444.1799999997</v>
      </c>
      <c r="L1735" s="134">
        <v>0.1792</v>
      </c>
    </row>
    <row r="1736" spans="3:12">
      <c r="C1736" s="161">
        <f t="shared" si="132"/>
        <v>2018</v>
      </c>
      <c r="D1736" s="35" t="s">
        <v>286</v>
      </c>
      <c r="E1736" s="227">
        <v>43313</v>
      </c>
      <c r="F1736" s="156">
        <v>7680238.0499999998</v>
      </c>
      <c r="G1736" s="131">
        <f t="shared" si="133"/>
        <v>1376298.6585599999</v>
      </c>
      <c r="H1736" s="156">
        <v>2223672.4700000002</v>
      </c>
      <c r="I1736" s="156">
        <v>1003729.95</v>
      </c>
      <c r="J1736" s="156">
        <v>1333.32</v>
      </c>
      <c r="K1736" s="131">
        <f t="shared" si="134"/>
        <v>3228735.7399999998</v>
      </c>
      <c r="L1736" s="134">
        <v>0.1792</v>
      </c>
    </row>
    <row r="1737" spans="3:12">
      <c r="C1737" s="161">
        <f t="shared" si="132"/>
        <v>2018</v>
      </c>
      <c r="D1737" s="35" t="s">
        <v>286</v>
      </c>
      <c r="E1737" s="227">
        <v>43344</v>
      </c>
      <c r="F1737" s="156">
        <v>7902089.2000000002</v>
      </c>
      <c r="G1737" s="131">
        <f t="shared" si="133"/>
        <v>1416054.3846400001</v>
      </c>
      <c r="H1737" s="156">
        <v>1945264.38</v>
      </c>
      <c r="I1737" s="156">
        <v>689686.24</v>
      </c>
      <c r="J1737" s="156">
        <v>5852.5</v>
      </c>
      <c r="K1737" s="131">
        <f t="shared" si="134"/>
        <v>2640803.12</v>
      </c>
      <c r="L1737" s="134">
        <v>0.1792</v>
      </c>
    </row>
    <row r="1738" spans="3:12">
      <c r="C1738" s="161">
        <f t="shared" si="132"/>
        <v>2018</v>
      </c>
      <c r="D1738" s="35" t="s">
        <v>286</v>
      </c>
      <c r="E1738" s="227">
        <v>43374</v>
      </c>
      <c r="F1738" s="156">
        <v>7883159.7999999998</v>
      </c>
      <c r="G1738" s="131">
        <f t="shared" si="133"/>
        <v>1412662.2361599999</v>
      </c>
      <c r="H1738" s="156">
        <v>2320429.5299999998</v>
      </c>
      <c r="I1738" s="156">
        <v>799966.44</v>
      </c>
      <c r="J1738" s="156">
        <v>11108</v>
      </c>
      <c r="K1738" s="131">
        <f t="shared" si="134"/>
        <v>3131503.9699999997</v>
      </c>
      <c r="L1738" s="134">
        <v>0.1792</v>
      </c>
    </row>
    <row r="1739" spans="3:12">
      <c r="C1739" s="161">
        <f t="shared" si="132"/>
        <v>2018</v>
      </c>
      <c r="D1739" s="35" t="s">
        <v>286</v>
      </c>
      <c r="E1739" s="227">
        <v>43405</v>
      </c>
      <c r="F1739" s="156">
        <v>8116268.0585249998</v>
      </c>
      <c r="G1739" s="131">
        <f t="shared" si="133"/>
        <v>1454435.2360876799</v>
      </c>
      <c r="H1739" s="156">
        <v>1503747.5</v>
      </c>
      <c r="I1739" s="156">
        <v>555797.68000000005</v>
      </c>
      <c r="J1739" s="156">
        <v>445182.09</v>
      </c>
      <c r="K1739" s="131">
        <f t="shared" si="134"/>
        <v>2504727.27</v>
      </c>
      <c r="L1739" s="134">
        <v>0.1792</v>
      </c>
    </row>
    <row r="1740" spans="3:12">
      <c r="C1740" s="161">
        <f t="shared" si="132"/>
        <v>2018</v>
      </c>
      <c r="D1740" s="35" t="s">
        <v>286</v>
      </c>
      <c r="E1740" s="227">
        <v>43435</v>
      </c>
      <c r="F1740" s="156">
        <v>8589543.8599999994</v>
      </c>
      <c r="G1740" s="131">
        <f t="shared" si="133"/>
        <v>1539246.2597119999</v>
      </c>
      <c r="H1740" s="156">
        <v>1339393.6100000001</v>
      </c>
      <c r="I1740" s="156">
        <v>1282994.55</v>
      </c>
      <c r="J1740" s="156">
        <v>32115.34</v>
      </c>
      <c r="K1740" s="131">
        <f t="shared" si="134"/>
        <v>2654503.5</v>
      </c>
      <c r="L1740" s="134">
        <v>0.1792</v>
      </c>
    </row>
    <row r="1741" spans="3:12">
      <c r="C1741" s="161">
        <f t="shared" si="132"/>
        <v>2019</v>
      </c>
      <c r="D1741" s="35" t="s">
        <v>286</v>
      </c>
      <c r="E1741" s="227">
        <v>43466</v>
      </c>
      <c r="F1741" s="156">
        <v>8664867.3200000003</v>
      </c>
      <c r="G1741" s="131">
        <f t="shared" si="133"/>
        <v>1552744.2237440001</v>
      </c>
      <c r="H1741" s="156">
        <v>3965329.72</v>
      </c>
      <c r="I1741" s="156">
        <v>715090.16</v>
      </c>
      <c r="J1741" s="156">
        <v>5457.36</v>
      </c>
      <c r="K1741" s="131">
        <f t="shared" si="134"/>
        <v>4685877.24</v>
      </c>
      <c r="L1741" s="134">
        <v>0.1792</v>
      </c>
    </row>
    <row r="1742" spans="3:12">
      <c r="C1742" s="161">
        <f t="shared" si="132"/>
        <v>2019</v>
      </c>
      <c r="D1742" s="35" t="s">
        <v>286</v>
      </c>
      <c r="E1742" s="227">
        <v>43497</v>
      </c>
      <c r="F1742" s="156">
        <v>8566697.8200000003</v>
      </c>
      <c r="G1742" s="131">
        <f t="shared" si="133"/>
        <v>1535152.2493440001</v>
      </c>
      <c r="H1742" s="156">
        <v>3786210.35</v>
      </c>
      <c r="I1742" s="156">
        <v>303281.25</v>
      </c>
      <c r="J1742" s="156">
        <v>56260</v>
      </c>
      <c r="K1742" s="131">
        <f t="shared" si="134"/>
        <v>4145751.6</v>
      </c>
      <c r="L1742" s="134">
        <v>0.1792</v>
      </c>
    </row>
    <row r="1743" spans="3:12">
      <c r="C1743" s="161">
        <f t="shared" si="132"/>
        <v>2019</v>
      </c>
      <c r="D1743" s="35" t="s">
        <v>286</v>
      </c>
      <c r="E1743" s="227">
        <v>43525</v>
      </c>
      <c r="F1743" s="156">
        <v>7839550.5800000001</v>
      </c>
      <c r="G1743" s="131">
        <f t="shared" si="133"/>
        <v>1404847.4639359999</v>
      </c>
      <c r="H1743" s="156">
        <v>3445131.71</v>
      </c>
      <c r="I1743" s="156">
        <v>394645.95</v>
      </c>
      <c r="J1743" s="156">
        <v>30359.52</v>
      </c>
      <c r="K1743" s="131">
        <f t="shared" si="134"/>
        <v>3870137.18</v>
      </c>
      <c r="L1743" s="134">
        <v>0.1792</v>
      </c>
    </row>
    <row r="1744" spans="3:12">
      <c r="C1744" s="161">
        <f t="shared" si="132"/>
        <v>2019</v>
      </c>
      <c r="D1744" s="35" t="s">
        <v>286</v>
      </c>
      <c r="E1744" s="227">
        <v>43556</v>
      </c>
      <c r="F1744" s="156">
        <v>8409899.9100000001</v>
      </c>
      <c r="G1744" s="131">
        <f t="shared" si="133"/>
        <v>1507054.063872</v>
      </c>
      <c r="H1744" s="156">
        <v>2195077.09</v>
      </c>
      <c r="I1744" s="156">
        <v>195090.61</v>
      </c>
      <c r="J1744" s="156">
        <v>14160.81</v>
      </c>
      <c r="K1744" s="131">
        <f t="shared" si="134"/>
        <v>2404328.5099999998</v>
      </c>
      <c r="L1744" s="134">
        <v>0.1792</v>
      </c>
    </row>
    <row r="1745" spans="3:12">
      <c r="C1745" s="161">
        <f t="shared" si="132"/>
        <v>2019</v>
      </c>
      <c r="D1745" s="35" t="s">
        <v>286</v>
      </c>
      <c r="E1745" s="227">
        <v>43586</v>
      </c>
      <c r="F1745" s="156">
        <v>7869042.9800000004</v>
      </c>
      <c r="G1745" s="131">
        <f t="shared" si="133"/>
        <v>1410132.502016</v>
      </c>
      <c r="H1745" s="156">
        <v>2945555.84</v>
      </c>
      <c r="I1745" s="156">
        <v>234534.11</v>
      </c>
      <c r="J1745" s="156">
        <v>0</v>
      </c>
      <c r="K1745" s="131">
        <f t="shared" si="134"/>
        <v>3180089.9499999997</v>
      </c>
      <c r="L1745" s="134">
        <v>0.1792</v>
      </c>
    </row>
    <row r="1746" spans="3:12">
      <c r="C1746" s="161">
        <f t="shared" si="132"/>
        <v>2019</v>
      </c>
      <c r="D1746" s="35" t="s">
        <v>286</v>
      </c>
      <c r="E1746" s="227">
        <v>43617</v>
      </c>
      <c r="F1746" s="156">
        <v>7988384.6600000001</v>
      </c>
      <c r="G1746" s="131">
        <f t="shared" si="133"/>
        <v>1431518.531072</v>
      </c>
      <c r="H1746" s="156">
        <v>3964705.21</v>
      </c>
      <c r="I1746" s="156">
        <v>43564.800000000003</v>
      </c>
      <c r="J1746" s="156">
        <v>0</v>
      </c>
      <c r="K1746" s="131">
        <f t="shared" si="134"/>
        <v>4008270.01</v>
      </c>
      <c r="L1746" s="134">
        <v>0.1792</v>
      </c>
    </row>
    <row r="1747" spans="3:12">
      <c r="C1747" s="161">
        <f t="shared" si="132"/>
        <v>2019</v>
      </c>
      <c r="D1747" s="35" t="s">
        <v>286</v>
      </c>
      <c r="E1747" s="227">
        <v>43647</v>
      </c>
      <c r="F1747" s="156">
        <v>8039892.7800000003</v>
      </c>
      <c r="G1747" s="131">
        <f t="shared" si="133"/>
        <v>1440748.786176</v>
      </c>
      <c r="H1747" s="156">
        <v>3408338.64</v>
      </c>
      <c r="I1747" s="156">
        <v>1006540.01</v>
      </c>
      <c r="J1747" s="156">
        <v>41559</v>
      </c>
      <c r="K1747" s="131">
        <f t="shared" si="134"/>
        <v>4456437.6500000004</v>
      </c>
      <c r="L1747" s="134">
        <v>0.1792</v>
      </c>
    </row>
    <row r="1748" spans="3:12">
      <c r="C1748" s="161">
        <f t="shared" si="132"/>
        <v>2019</v>
      </c>
      <c r="D1748" s="35" t="s">
        <v>286</v>
      </c>
      <c r="E1748" s="227">
        <v>43678</v>
      </c>
      <c r="F1748" s="156">
        <v>8646187.7599999998</v>
      </c>
      <c r="G1748" s="131">
        <f t="shared" si="133"/>
        <v>1549396.846592</v>
      </c>
      <c r="H1748" s="156">
        <v>2867606.77</v>
      </c>
      <c r="I1748" s="156">
        <v>763650.03</v>
      </c>
      <c r="J1748" s="156">
        <v>4337.7700000000004</v>
      </c>
      <c r="K1748" s="131">
        <f t="shared" si="134"/>
        <v>3635594.57</v>
      </c>
      <c r="L1748" s="134">
        <v>0.1792</v>
      </c>
    </row>
    <row r="1749" spans="3:12">
      <c r="C1749" s="161">
        <f t="shared" si="132"/>
        <v>2019</v>
      </c>
      <c r="D1749" s="35" t="s">
        <v>286</v>
      </c>
      <c r="E1749" s="227">
        <v>43709</v>
      </c>
      <c r="F1749" s="156">
        <v>9259171.4700000007</v>
      </c>
      <c r="G1749" s="131">
        <f t="shared" si="133"/>
        <v>1659243.5274240002</v>
      </c>
      <c r="H1749" s="156">
        <v>4964241.18</v>
      </c>
      <c r="I1749" s="156">
        <v>410296.93</v>
      </c>
      <c r="J1749" s="156">
        <v>161523.1</v>
      </c>
      <c r="K1749" s="131">
        <f t="shared" si="134"/>
        <v>5536061.209999999</v>
      </c>
      <c r="L1749" s="134">
        <v>0.1792</v>
      </c>
    </row>
    <row r="1750" spans="3:12">
      <c r="C1750" s="161">
        <f t="shared" si="132"/>
        <v>2019</v>
      </c>
      <c r="D1750" s="35" t="s">
        <v>286</v>
      </c>
      <c r="E1750" s="227">
        <v>43739</v>
      </c>
      <c r="F1750" s="156">
        <v>9346668.3399999999</v>
      </c>
      <c r="G1750" s="131">
        <f t="shared" si="133"/>
        <v>1674922.9665279998</v>
      </c>
      <c r="H1750" s="156">
        <v>1145019.68</v>
      </c>
      <c r="I1750" s="156">
        <v>718829.97</v>
      </c>
      <c r="J1750" s="156">
        <v>900637.19</v>
      </c>
      <c r="K1750" s="131">
        <f t="shared" si="134"/>
        <v>2764486.84</v>
      </c>
      <c r="L1750" s="134">
        <v>0.1792</v>
      </c>
    </row>
    <row r="1751" spans="3:12">
      <c r="C1751" s="161">
        <f t="shared" si="132"/>
        <v>2019</v>
      </c>
      <c r="D1751" s="35" t="s">
        <v>286</v>
      </c>
      <c r="E1751" s="227">
        <v>43770</v>
      </c>
      <c r="F1751" s="156">
        <v>10622459.67</v>
      </c>
      <c r="G1751" s="131">
        <f t="shared" si="133"/>
        <v>1903544.7728639999</v>
      </c>
      <c r="H1751" s="156">
        <v>1457363.1</v>
      </c>
      <c r="I1751" s="156">
        <v>170833.97</v>
      </c>
      <c r="J1751" s="156">
        <v>3788.5</v>
      </c>
      <c r="K1751" s="131">
        <f t="shared" si="134"/>
        <v>1631985.57</v>
      </c>
      <c r="L1751" s="134">
        <v>0.1792</v>
      </c>
    </row>
    <row r="1752" spans="3:12">
      <c r="C1752" s="161">
        <f t="shared" si="132"/>
        <v>2019</v>
      </c>
      <c r="D1752" s="35" t="s">
        <v>286</v>
      </c>
      <c r="E1752" s="227">
        <v>43800</v>
      </c>
      <c r="F1752" s="156">
        <v>10789908.460000001</v>
      </c>
      <c r="G1752" s="131">
        <f t="shared" si="133"/>
        <v>1933551.5960320001</v>
      </c>
      <c r="H1752" s="156">
        <v>1672419.83</v>
      </c>
      <c r="I1752" s="156">
        <v>536253.12</v>
      </c>
      <c r="J1752" s="156">
        <v>0</v>
      </c>
      <c r="K1752" s="131">
        <f t="shared" si="134"/>
        <v>2208672.9500000002</v>
      </c>
      <c r="L1752" s="134">
        <v>0.1792</v>
      </c>
    </row>
    <row r="1753" spans="3:12">
      <c r="C1753" s="161">
        <f t="shared" si="132"/>
        <v>2020</v>
      </c>
      <c r="D1753" s="35" t="s">
        <v>286</v>
      </c>
      <c r="E1753" s="227">
        <v>43831</v>
      </c>
      <c r="F1753" s="156">
        <v>9209711.75</v>
      </c>
      <c r="G1753" s="131">
        <f t="shared" si="133"/>
        <v>1650380.3455999999</v>
      </c>
      <c r="H1753" s="156">
        <v>1177192.49</v>
      </c>
      <c r="I1753" s="156">
        <v>377087.61</v>
      </c>
      <c r="J1753" s="156">
        <v>2048.38</v>
      </c>
      <c r="K1753" s="131">
        <f t="shared" si="134"/>
        <v>1556328.48</v>
      </c>
      <c r="L1753" s="134">
        <v>0.1792</v>
      </c>
    </row>
    <row r="1754" spans="3:12">
      <c r="C1754" s="161">
        <f t="shared" si="132"/>
        <v>2020</v>
      </c>
      <c r="D1754" s="35" t="s">
        <v>286</v>
      </c>
      <c r="E1754" s="227">
        <v>43862</v>
      </c>
      <c r="F1754" s="156">
        <v>7893663.3300000001</v>
      </c>
      <c r="G1754" s="131">
        <f t="shared" si="133"/>
        <v>1414544.4687359999</v>
      </c>
      <c r="H1754" s="156">
        <v>723617.98</v>
      </c>
      <c r="I1754" s="156">
        <v>31062.95</v>
      </c>
      <c r="J1754" s="156">
        <v>0</v>
      </c>
      <c r="K1754" s="131">
        <f t="shared" si="134"/>
        <v>754680.92999999993</v>
      </c>
      <c r="L1754" s="134">
        <v>0.1792</v>
      </c>
    </row>
    <row r="1755" spans="3:12">
      <c r="C1755" s="161">
        <f t="shared" si="132"/>
        <v>2020</v>
      </c>
      <c r="D1755" s="35" t="s">
        <v>286</v>
      </c>
      <c r="E1755" s="227">
        <v>43891</v>
      </c>
      <c r="F1755" s="156">
        <v>8411220.1692750007</v>
      </c>
      <c r="G1755" s="131">
        <f t="shared" si="133"/>
        <v>1507290.6543340802</v>
      </c>
      <c r="H1755" s="156">
        <v>1537508.13</v>
      </c>
      <c r="I1755" s="156">
        <v>85177.27</v>
      </c>
      <c r="J1755" s="156">
        <v>0</v>
      </c>
      <c r="K1755" s="131">
        <f t="shared" si="134"/>
        <v>1622685.4</v>
      </c>
      <c r="L1755" s="134">
        <v>0.1792</v>
      </c>
    </row>
    <row r="1756" spans="3:12">
      <c r="C1756" s="161">
        <f t="shared" si="132"/>
        <v>2020</v>
      </c>
      <c r="D1756" s="35" t="s">
        <v>286</v>
      </c>
      <c r="E1756" s="227">
        <v>43922</v>
      </c>
      <c r="F1756" s="156">
        <v>8782522.4511750005</v>
      </c>
      <c r="G1756" s="131">
        <f t="shared" si="133"/>
        <v>1573828.02325056</v>
      </c>
      <c r="H1756" s="156">
        <v>2245341.4</v>
      </c>
      <c r="I1756" s="156">
        <v>71754.539999999994</v>
      </c>
      <c r="J1756" s="156">
        <v>0</v>
      </c>
      <c r="K1756" s="131">
        <f t="shared" si="134"/>
        <v>2317095.94</v>
      </c>
      <c r="L1756" s="134">
        <v>0.1792</v>
      </c>
    </row>
    <row r="1757" spans="3:12">
      <c r="C1757" s="161">
        <f t="shared" si="132"/>
        <v>2020</v>
      </c>
      <c r="D1757" s="35" t="s">
        <v>286</v>
      </c>
      <c r="E1757" s="227">
        <v>43952</v>
      </c>
      <c r="F1757" s="156">
        <v>8405500.4100000001</v>
      </c>
      <c r="G1757" s="131">
        <f t="shared" si="133"/>
        <v>1506265.6734720001</v>
      </c>
      <c r="H1757" s="156">
        <v>2807977.14</v>
      </c>
      <c r="I1757" s="156">
        <v>15934.08</v>
      </c>
      <c r="J1757" s="156">
        <v>10350</v>
      </c>
      <c r="K1757" s="131">
        <f t="shared" si="134"/>
        <v>2834261.22</v>
      </c>
      <c r="L1757" s="134">
        <v>0.1792</v>
      </c>
    </row>
    <row r="1758" spans="3:12">
      <c r="C1758" s="161">
        <f t="shared" si="132"/>
        <v>2020</v>
      </c>
      <c r="D1758" s="35" t="s">
        <v>286</v>
      </c>
      <c r="E1758" s="227">
        <v>43983</v>
      </c>
      <c r="F1758" s="156">
        <v>7974177.7199999997</v>
      </c>
      <c r="G1758" s="131">
        <f t="shared" si="133"/>
        <v>1428972.6474239998</v>
      </c>
      <c r="H1758" s="156">
        <v>3037296.62</v>
      </c>
      <c r="I1758" s="156">
        <v>626170.32999999996</v>
      </c>
      <c r="J1758" s="156">
        <v>0</v>
      </c>
      <c r="K1758" s="131">
        <f t="shared" si="134"/>
        <v>3663466.95</v>
      </c>
      <c r="L1758" s="134">
        <v>0.1792</v>
      </c>
    </row>
    <row r="1759" spans="3:12">
      <c r="C1759" s="161">
        <f t="shared" si="132"/>
        <v>2020</v>
      </c>
      <c r="D1759" s="35" t="s">
        <v>286</v>
      </c>
      <c r="E1759" s="227">
        <v>44013</v>
      </c>
      <c r="F1759" s="156">
        <v>8013741.5300000003</v>
      </c>
      <c r="G1759" s="131">
        <f t="shared" si="133"/>
        <v>1436062.482176</v>
      </c>
      <c r="H1759" s="156">
        <v>4105162.45</v>
      </c>
      <c r="I1759" s="156">
        <v>195508.21</v>
      </c>
      <c r="J1759" s="156">
        <v>0</v>
      </c>
      <c r="K1759" s="131">
        <f t="shared" si="134"/>
        <v>4300670.66</v>
      </c>
      <c r="L1759" s="134">
        <v>0.1792</v>
      </c>
    </row>
    <row r="1760" spans="3:12">
      <c r="C1760" s="161">
        <f t="shared" si="132"/>
        <v>2020</v>
      </c>
      <c r="D1760" s="35" t="s">
        <v>286</v>
      </c>
      <c r="E1760" s="227">
        <v>44044</v>
      </c>
      <c r="F1760" s="156">
        <v>8439609.6500000004</v>
      </c>
      <c r="G1760" s="131">
        <f t="shared" si="133"/>
        <v>1512378.0492800002</v>
      </c>
      <c r="H1760" s="156">
        <v>1500125.3</v>
      </c>
      <c r="I1760" s="156">
        <v>180146.58</v>
      </c>
      <c r="J1760" s="156">
        <v>312.02</v>
      </c>
      <c r="K1760" s="131">
        <f t="shared" si="134"/>
        <v>1680583.9000000001</v>
      </c>
      <c r="L1760" s="134">
        <v>0.1792</v>
      </c>
    </row>
    <row r="1761" spans="3:12">
      <c r="C1761" s="161">
        <f t="shared" si="132"/>
        <v>2020</v>
      </c>
      <c r="D1761" s="35" t="s">
        <v>286</v>
      </c>
      <c r="E1761" s="227">
        <v>44075</v>
      </c>
      <c r="F1761" s="156">
        <v>8866715.2200000007</v>
      </c>
      <c r="G1761" s="131">
        <f t="shared" si="133"/>
        <v>1588915.3674240001</v>
      </c>
      <c r="H1761" s="156">
        <v>2706840.61</v>
      </c>
      <c r="I1761" s="156">
        <v>1921660.84</v>
      </c>
      <c r="J1761" s="156">
        <v>18715.22</v>
      </c>
      <c r="K1761" s="131">
        <f t="shared" si="134"/>
        <v>4647216.67</v>
      </c>
      <c r="L1761" s="134">
        <v>0.1792</v>
      </c>
    </row>
    <row r="1762" spans="3:12">
      <c r="C1762" s="161">
        <f t="shared" si="132"/>
        <v>2020</v>
      </c>
      <c r="D1762" s="35" t="s">
        <v>286</v>
      </c>
      <c r="E1762" s="227">
        <v>44105</v>
      </c>
      <c r="F1762" s="156">
        <v>9641904.8699999992</v>
      </c>
      <c r="G1762" s="131">
        <f t="shared" si="133"/>
        <v>1727829.3527039997</v>
      </c>
      <c r="H1762" s="156">
        <v>2039976.09</v>
      </c>
      <c r="I1762" s="156">
        <v>257583.3</v>
      </c>
      <c r="J1762" s="156">
        <v>3337.54</v>
      </c>
      <c r="K1762" s="131">
        <f t="shared" si="134"/>
        <v>2300896.9300000002</v>
      </c>
      <c r="L1762" s="134">
        <v>0.1792</v>
      </c>
    </row>
    <row r="1763" spans="3:12">
      <c r="C1763" s="161">
        <f t="shared" si="132"/>
        <v>2020</v>
      </c>
      <c r="D1763" s="35" t="s">
        <v>286</v>
      </c>
      <c r="E1763" s="227">
        <v>44136</v>
      </c>
      <c r="F1763" s="156">
        <v>8503605.1300000008</v>
      </c>
      <c r="G1763" s="131">
        <f t="shared" si="133"/>
        <v>1523846.039296</v>
      </c>
      <c r="H1763" s="156">
        <v>146845.07999999999</v>
      </c>
      <c r="I1763" s="156">
        <v>467045.78</v>
      </c>
      <c r="J1763" s="156">
        <v>0</v>
      </c>
      <c r="K1763" s="131">
        <f t="shared" si="134"/>
        <v>613890.86</v>
      </c>
      <c r="L1763" s="134">
        <v>0.1792</v>
      </c>
    </row>
    <row r="1764" spans="3:12">
      <c r="C1764" s="161">
        <f t="shared" si="132"/>
        <v>2020</v>
      </c>
      <c r="D1764" s="35" t="s">
        <v>286</v>
      </c>
      <c r="E1764" s="227">
        <v>44166</v>
      </c>
      <c r="F1764" s="156">
        <v>9029198.3800000008</v>
      </c>
      <c r="G1764" s="131">
        <f t="shared" si="133"/>
        <v>1618032.3496960001</v>
      </c>
      <c r="H1764" s="156">
        <v>1166605.23</v>
      </c>
      <c r="I1764" s="156">
        <v>252007.67999999999</v>
      </c>
      <c r="J1764" s="156">
        <v>0</v>
      </c>
      <c r="K1764" s="131">
        <f t="shared" si="134"/>
        <v>1418612.91</v>
      </c>
      <c r="L1764" s="134">
        <v>0.1792</v>
      </c>
    </row>
    <row r="1765" spans="3:12">
      <c r="C1765" s="161">
        <f t="shared" si="132"/>
        <v>2021</v>
      </c>
      <c r="D1765" s="35" t="s">
        <v>286</v>
      </c>
      <c r="E1765" s="227">
        <v>44197</v>
      </c>
      <c r="F1765" s="156">
        <v>9133220.9600000009</v>
      </c>
      <c r="G1765" s="131">
        <f t="shared" si="133"/>
        <v>1636673.1960320002</v>
      </c>
      <c r="H1765" s="156">
        <v>623763.36</v>
      </c>
      <c r="I1765" s="156">
        <v>203370.62</v>
      </c>
      <c r="J1765" s="156">
        <v>0</v>
      </c>
      <c r="K1765" s="131">
        <f t="shared" si="134"/>
        <v>827133.98</v>
      </c>
      <c r="L1765" s="134">
        <v>0.1792</v>
      </c>
    </row>
    <row r="1766" spans="3:12">
      <c r="C1766" s="161">
        <f t="shared" si="132"/>
        <v>2021</v>
      </c>
      <c r="D1766" s="35" t="s">
        <v>286</v>
      </c>
      <c r="E1766" s="227">
        <v>44229</v>
      </c>
      <c r="F1766" s="156">
        <v>8403493.9700000007</v>
      </c>
      <c r="G1766" s="131">
        <f t="shared" si="133"/>
        <v>1505906.1194240001</v>
      </c>
      <c r="H1766" s="156">
        <v>313529.56</v>
      </c>
      <c r="I1766" s="156">
        <v>294528.15000000002</v>
      </c>
      <c r="J1766" s="156">
        <v>0</v>
      </c>
      <c r="K1766" s="131">
        <f t="shared" si="134"/>
        <v>608057.71</v>
      </c>
      <c r="L1766" s="134">
        <v>0.1792</v>
      </c>
    </row>
    <row r="1767" spans="3:12">
      <c r="C1767" s="161">
        <f t="shared" si="132"/>
        <v>2021</v>
      </c>
      <c r="D1767" s="35" t="s">
        <v>286</v>
      </c>
      <c r="E1767" s="227">
        <v>44258</v>
      </c>
      <c r="F1767" s="156">
        <v>8597687.0099999998</v>
      </c>
      <c r="G1767" s="131">
        <f t="shared" si="133"/>
        <v>1540705.5121919999</v>
      </c>
      <c r="H1767" s="156">
        <v>3523859.71</v>
      </c>
      <c r="I1767" s="156">
        <v>594924.06999999995</v>
      </c>
      <c r="J1767" s="156">
        <v>1567</v>
      </c>
      <c r="K1767" s="131">
        <f t="shared" si="134"/>
        <v>4120350.78</v>
      </c>
      <c r="L1767" s="134">
        <v>0.1792</v>
      </c>
    </row>
    <row r="1768" spans="3:12">
      <c r="C1768" s="161">
        <f t="shared" si="132"/>
        <v>2021</v>
      </c>
      <c r="D1768" s="35" t="s">
        <v>286</v>
      </c>
      <c r="E1768" s="227">
        <v>44290</v>
      </c>
      <c r="F1768" s="156">
        <v>9625093.0299999993</v>
      </c>
      <c r="G1768" s="131">
        <f t="shared" si="133"/>
        <v>1724816.6709759999</v>
      </c>
      <c r="H1768" s="156">
        <v>483464.7</v>
      </c>
      <c r="I1768" s="156">
        <v>1107161.25</v>
      </c>
      <c r="J1768" s="156">
        <v>0</v>
      </c>
      <c r="K1768" s="131">
        <f t="shared" si="134"/>
        <v>1590625.95</v>
      </c>
      <c r="L1768" s="134">
        <v>0.1792</v>
      </c>
    </row>
    <row r="1769" spans="3:12">
      <c r="C1769" s="161">
        <f t="shared" si="132"/>
        <v>2021</v>
      </c>
      <c r="D1769" s="35" t="s">
        <v>286</v>
      </c>
      <c r="E1769" s="227">
        <v>44321</v>
      </c>
      <c r="F1769" s="156">
        <v>9191874.0299999993</v>
      </c>
      <c r="G1769" s="131">
        <f t="shared" si="133"/>
        <v>1647183.8261759998</v>
      </c>
      <c r="H1769" s="156">
        <v>1328862.31</v>
      </c>
      <c r="I1769" s="156">
        <v>0</v>
      </c>
      <c r="J1769" s="156">
        <v>26234.240000000002</v>
      </c>
      <c r="K1769" s="131">
        <f t="shared" si="134"/>
        <v>1355096.55</v>
      </c>
      <c r="L1769" s="134">
        <v>0.1792</v>
      </c>
    </row>
    <row r="1770" spans="3:12">
      <c r="C1770" s="161">
        <f t="shared" si="132"/>
        <v>2021</v>
      </c>
      <c r="D1770" s="35" t="s">
        <v>286</v>
      </c>
      <c r="E1770" s="227">
        <v>44353</v>
      </c>
      <c r="F1770" s="156">
        <v>8593526.4600000009</v>
      </c>
      <c r="G1770" s="131">
        <f t="shared" si="133"/>
        <v>1539959.941632</v>
      </c>
      <c r="H1770" s="156">
        <v>882381.46</v>
      </c>
      <c r="I1770" s="156">
        <v>4020.06</v>
      </c>
      <c r="J1770" s="156">
        <v>47443.82</v>
      </c>
      <c r="K1770" s="131">
        <f t="shared" si="134"/>
        <v>933845.34</v>
      </c>
      <c r="L1770" s="134">
        <v>0.1792</v>
      </c>
    </row>
    <row r="1771" spans="3:12">
      <c r="C1771" s="161">
        <f t="shared" si="132"/>
        <v>2015</v>
      </c>
      <c r="D1771" s="35" t="s">
        <v>287</v>
      </c>
      <c r="E1771" s="227">
        <v>42309</v>
      </c>
      <c r="F1771" s="156">
        <v>248261.21</v>
      </c>
      <c r="G1771" s="131">
        <f t="shared" si="133"/>
        <v>44488.408832000001</v>
      </c>
      <c r="H1771" s="156">
        <v>825.74</v>
      </c>
      <c r="I1771" s="156">
        <v>37.25</v>
      </c>
      <c r="J1771" s="156">
        <v>0</v>
      </c>
      <c r="K1771" s="131">
        <f t="shared" si="134"/>
        <v>862.99</v>
      </c>
      <c r="L1771" s="134">
        <v>0.1792</v>
      </c>
    </row>
    <row r="1772" spans="3:12">
      <c r="C1772" s="161">
        <f t="shared" si="132"/>
        <v>2015</v>
      </c>
      <c r="D1772" s="35" t="s">
        <v>287</v>
      </c>
      <c r="E1772" s="227">
        <v>42339</v>
      </c>
      <c r="F1772" s="156">
        <v>229493.76000000001</v>
      </c>
      <c r="G1772" s="131">
        <f t="shared" si="133"/>
        <v>41125.281792000002</v>
      </c>
      <c r="H1772" s="156">
        <v>2101.65</v>
      </c>
      <c r="I1772" s="156">
        <v>0</v>
      </c>
      <c r="J1772" s="156">
        <v>0</v>
      </c>
      <c r="K1772" s="131">
        <f t="shared" si="134"/>
        <v>2101.65</v>
      </c>
      <c r="L1772" s="134">
        <v>0.1792</v>
      </c>
    </row>
    <row r="1773" spans="3:12">
      <c r="C1773" s="161">
        <f t="shared" si="132"/>
        <v>2016</v>
      </c>
      <c r="D1773" s="35" t="s">
        <v>287</v>
      </c>
      <c r="E1773" s="227">
        <v>42370</v>
      </c>
      <c r="F1773" s="156">
        <v>244621.84</v>
      </c>
      <c r="G1773" s="131">
        <f t="shared" si="133"/>
        <v>43836.233727999999</v>
      </c>
      <c r="H1773" s="156">
        <v>940.95</v>
      </c>
      <c r="I1773" s="156">
        <v>38.1</v>
      </c>
      <c r="J1773" s="156">
        <v>0</v>
      </c>
      <c r="K1773" s="131">
        <f t="shared" si="134"/>
        <v>979.05000000000007</v>
      </c>
      <c r="L1773" s="134">
        <v>0.1792</v>
      </c>
    </row>
    <row r="1774" spans="3:12">
      <c r="C1774" s="161">
        <f t="shared" si="132"/>
        <v>2016</v>
      </c>
      <c r="D1774" s="35" t="s">
        <v>287</v>
      </c>
      <c r="E1774" s="227">
        <v>42401</v>
      </c>
      <c r="F1774" s="156">
        <v>253914.47</v>
      </c>
      <c r="G1774" s="131">
        <f t="shared" si="133"/>
        <v>45501.473023999999</v>
      </c>
      <c r="H1774" s="156">
        <v>1218.01</v>
      </c>
      <c r="I1774" s="156">
        <v>0</v>
      </c>
      <c r="J1774" s="156">
        <v>0</v>
      </c>
      <c r="K1774" s="131">
        <f t="shared" si="134"/>
        <v>1218.01</v>
      </c>
      <c r="L1774" s="134">
        <v>0.1792</v>
      </c>
    </row>
    <row r="1775" spans="3:12">
      <c r="C1775" s="161">
        <f t="shared" si="132"/>
        <v>2016</v>
      </c>
      <c r="D1775" s="35" t="s">
        <v>287</v>
      </c>
      <c r="E1775" s="227">
        <v>42430</v>
      </c>
      <c r="F1775" s="156">
        <v>221382.16</v>
      </c>
      <c r="G1775" s="131">
        <f t="shared" si="133"/>
        <v>39671.683072</v>
      </c>
      <c r="H1775" s="156">
        <v>5299.92</v>
      </c>
      <c r="I1775" s="156">
        <v>118.95</v>
      </c>
      <c r="J1775" s="156">
        <v>0</v>
      </c>
      <c r="K1775" s="131">
        <f t="shared" si="134"/>
        <v>5418.87</v>
      </c>
      <c r="L1775" s="134">
        <v>0.1792</v>
      </c>
    </row>
    <row r="1776" spans="3:12">
      <c r="C1776" s="161">
        <f t="shared" si="132"/>
        <v>2016</v>
      </c>
      <c r="D1776" s="35" t="s">
        <v>287</v>
      </c>
      <c r="E1776" s="227">
        <v>42461</v>
      </c>
      <c r="F1776" s="156">
        <v>261441.48</v>
      </c>
      <c r="G1776" s="131">
        <f t="shared" si="133"/>
        <v>46850.313216000002</v>
      </c>
      <c r="H1776" s="156">
        <v>1373.33</v>
      </c>
      <c r="I1776" s="156">
        <v>0</v>
      </c>
      <c r="J1776" s="156">
        <v>0</v>
      </c>
      <c r="K1776" s="131">
        <f t="shared" si="134"/>
        <v>1373.33</v>
      </c>
      <c r="L1776" s="134">
        <v>0.1792</v>
      </c>
    </row>
    <row r="1777" spans="3:12">
      <c r="C1777" s="161">
        <f t="shared" si="132"/>
        <v>2016</v>
      </c>
      <c r="D1777" s="35" t="s">
        <v>287</v>
      </c>
      <c r="E1777" s="227">
        <v>42491</v>
      </c>
      <c r="F1777" s="156">
        <v>229012.43</v>
      </c>
      <c r="G1777" s="131">
        <f t="shared" si="133"/>
        <v>41039.027455999996</v>
      </c>
      <c r="H1777" s="156">
        <v>1055.0999999999999</v>
      </c>
      <c r="I1777" s="156">
        <v>0</v>
      </c>
      <c r="J1777" s="156">
        <v>0</v>
      </c>
      <c r="K1777" s="131">
        <f t="shared" si="134"/>
        <v>1055.0999999999999</v>
      </c>
      <c r="L1777" s="134">
        <v>0.1792</v>
      </c>
    </row>
    <row r="1778" spans="3:12">
      <c r="C1778" s="161">
        <f t="shared" si="132"/>
        <v>2016</v>
      </c>
      <c r="D1778" s="35" t="s">
        <v>287</v>
      </c>
      <c r="E1778" s="227">
        <v>42522</v>
      </c>
      <c r="F1778" s="156">
        <v>222795.36</v>
      </c>
      <c r="G1778" s="131">
        <f t="shared" si="133"/>
        <v>39924.928511999999</v>
      </c>
      <c r="H1778" s="156">
        <v>1435.16</v>
      </c>
      <c r="I1778" s="156">
        <v>40.340000000000003</v>
      </c>
      <c r="J1778" s="156">
        <v>11740</v>
      </c>
      <c r="K1778" s="131">
        <f t="shared" si="134"/>
        <v>13215.5</v>
      </c>
      <c r="L1778" s="134">
        <v>0.1792</v>
      </c>
    </row>
    <row r="1779" spans="3:12">
      <c r="C1779" s="161">
        <f t="shared" si="132"/>
        <v>2016</v>
      </c>
      <c r="D1779" s="35" t="s">
        <v>287</v>
      </c>
      <c r="E1779" s="227">
        <v>42552</v>
      </c>
      <c r="F1779" s="156">
        <v>236485.11</v>
      </c>
      <c r="G1779" s="131">
        <f t="shared" si="133"/>
        <v>42378.131711999995</v>
      </c>
      <c r="H1779" s="156">
        <v>1515.12</v>
      </c>
      <c r="I1779" s="156">
        <v>166.18</v>
      </c>
      <c r="J1779" s="156">
        <v>0</v>
      </c>
      <c r="K1779" s="131">
        <f t="shared" si="134"/>
        <v>1681.3</v>
      </c>
      <c r="L1779" s="134">
        <v>0.1792</v>
      </c>
    </row>
    <row r="1780" spans="3:12">
      <c r="C1780" s="161">
        <f t="shared" si="132"/>
        <v>2016</v>
      </c>
      <c r="D1780" s="35" t="s">
        <v>287</v>
      </c>
      <c r="E1780" s="227">
        <v>42583</v>
      </c>
      <c r="F1780" s="156">
        <v>254472.86</v>
      </c>
      <c r="G1780" s="131">
        <f t="shared" si="133"/>
        <v>45601.536511999999</v>
      </c>
      <c r="H1780" s="156">
        <v>919.69</v>
      </c>
      <c r="I1780" s="156">
        <v>0</v>
      </c>
      <c r="J1780" s="156">
        <v>0</v>
      </c>
      <c r="K1780" s="131">
        <f t="shared" si="134"/>
        <v>919.69</v>
      </c>
      <c r="L1780" s="134">
        <v>0.1792</v>
      </c>
    </row>
    <row r="1781" spans="3:12">
      <c r="C1781" s="161">
        <f t="shared" si="132"/>
        <v>2016</v>
      </c>
      <c r="D1781" s="35" t="s">
        <v>287</v>
      </c>
      <c r="E1781" s="227">
        <v>42614</v>
      </c>
      <c r="F1781" s="156">
        <v>258116.81</v>
      </c>
      <c r="G1781" s="131">
        <f t="shared" si="133"/>
        <v>46254.532352000002</v>
      </c>
      <c r="H1781" s="156">
        <v>433.49</v>
      </c>
      <c r="I1781" s="156">
        <v>0</v>
      </c>
      <c r="J1781" s="156">
        <v>0</v>
      </c>
      <c r="K1781" s="131">
        <f t="shared" si="134"/>
        <v>433.49</v>
      </c>
      <c r="L1781" s="134">
        <v>0.1792</v>
      </c>
    </row>
    <row r="1782" spans="3:12">
      <c r="C1782" s="161">
        <f t="shared" si="132"/>
        <v>2016</v>
      </c>
      <c r="D1782" s="35" t="s">
        <v>287</v>
      </c>
      <c r="E1782" s="227">
        <v>42644</v>
      </c>
      <c r="F1782" s="156">
        <v>258519.63</v>
      </c>
      <c r="G1782" s="131">
        <f t="shared" si="133"/>
        <v>46326.717696</v>
      </c>
      <c r="H1782" s="156">
        <v>833.89</v>
      </c>
      <c r="I1782" s="156">
        <v>202.7</v>
      </c>
      <c r="J1782" s="156">
        <v>0</v>
      </c>
      <c r="K1782" s="131">
        <f t="shared" si="134"/>
        <v>1036.5899999999999</v>
      </c>
      <c r="L1782" s="134">
        <v>0.1792</v>
      </c>
    </row>
    <row r="1783" spans="3:12">
      <c r="C1783" s="161">
        <f t="shared" si="132"/>
        <v>2016</v>
      </c>
      <c r="D1783" s="35" t="s">
        <v>287</v>
      </c>
      <c r="E1783" s="227">
        <v>42675</v>
      </c>
      <c r="F1783" s="156">
        <v>273617.99</v>
      </c>
      <c r="G1783" s="131">
        <f t="shared" si="133"/>
        <v>49032.343807999998</v>
      </c>
      <c r="H1783" s="156">
        <v>4177.8500000000004</v>
      </c>
      <c r="I1783" s="156">
        <v>0</v>
      </c>
      <c r="J1783" s="156">
        <v>0</v>
      </c>
      <c r="K1783" s="131">
        <f t="shared" si="134"/>
        <v>4177.8500000000004</v>
      </c>
      <c r="L1783" s="134">
        <v>0.1792</v>
      </c>
    </row>
    <row r="1784" spans="3:12">
      <c r="C1784" s="161">
        <f t="shared" si="132"/>
        <v>2016</v>
      </c>
      <c r="D1784" s="35" t="s">
        <v>287</v>
      </c>
      <c r="E1784" s="227">
        <v>42705</v>
      </c>
      <c r="F1784" s="156">
        <v>276512.07</v>
      </c>
      <c r="G1784" s="131">
        <f t="shared" si="133"/>
        <v>49550.962943999999</v>
      </c>
      <c r="H1784" s="156">
        <v>1195.3900000000001</v>
      </c>
      <c r="I1784" s="156">
        <v>39.25</v>
      </c>
      <c r="J1784" s="156">
        <v>0</v>
      </c>
      <c r="K1784" s="131">
        <f t="shared" si="134"/>
        <v>1234.6400000000001</v>
      </c>
      <c r="L1784" s="134">
        <v>0.1792</v>
      </c>
    </row>
    <row r="1785" spans="3:12">
      <c r="C1785" s="161">
        <f t="shared" si="132"/>
        <v>2017</v>
      </c>
      <c r="D1785" s="35" t="s">
        <v>287</v>
      </c>
      <c r="E1785" s="227">
        <v>42736</v>
      </c>
      <c r="F1785" s="156">
        <v>282884.03999999998</v>
      </c>
      <c r="G1785" s="131">
        <f t="shared" si="133"/>
        <v>50692.819967999996</v>
      </c>
      <c r="H1785" s="156">
        <v>1676.37</v>
      </c>
      <c r="I1785" s="156">
        <v>0</v>
      </c>
      <c r="J1785" s="156">
        <v>0</v>
      </c>
      <c r="K1785" s="131">
        <f t="shared" si="134"/>
        <v>1676.37</v>
      </c>
      <c r="L1785" s="134">
        <v>0.1792</v>
      </c>
    </row>
    <row r="1786" spans="3:12">
      <c r="C1786" s="161">
        <f t="shared" si="132"/>
        <v>2017</v>
      </c>
      <c r="D1786" s="35" t="s">
        <v>287</v>
      </c>
      <c r="E1786" s="227">
        <v>42767</v>
      </c>
      <c r="F1786" s="156">
        <v>295339.26</v>
      </c>
      <c r="G1786" s="131">
        <f t="shared" si="133"/>
        <v>52924.795392</v>
      </c>
      <c r="H1786" s="156">
        <v>663.11</v>
      </c>
      <c r="I1786" s="156">
        <v>0</v>
      </c>
      <c r="J1786" s="156">
        <v>0</v>
      </c>
      <c r="K1786" s="131">
        <f t="shared" si="134"/>
        <v>663.11</v>
      </c>
      <c r="L1786" s="134">
        <v>0.1792</v>
      </c>
    </row>
    <row r="1787" spans="3:12">
      <c r="C1787" s="161">
        <f t="shared" si="132"/>
        <v>2017</v>
      </c>
      <c r="D1787" s="35" t="s">
        <v>287</v>
      </c>
      <c r="E1787" s="227">
        <v>42795</v>
      </c>
      <c r="F1787" s="156">
        <v>269928.51</v>
      </c>
      <c r="G1787" s="131">
        <f t="shared" si="133"/>
        <v>48371.188992000003</v>
      </c>
      <c r="H1787" s="156">
        <v>518.04999999999995</v>
      </c>
      <c r="I1787" s="156">
        <v>0</v>
      </c>
      <c r="J1787" s="156">
        <v>1576.4</v>
      </c>
      <c r="K1787" s="131">
        <f t="shared" si="134"/>
        <v>2094.4499999999998</v>
      </c>
      <c r="L1787" s="134">
        <v>0.1792</v>
      </c>
    </row>
    <row r="1788" spans="3:12">
      <c r="C1788" s="161">
        <f t="shared" si="132"/>
        <v>2017</v>
      </c>
      <c r="D1788" s="35" t="s">
        <v>287</v>
      </c>
      <c r="E1788" s="227">
        <v>42826</v>
      </c>
      <c r="F1788" s="156">
        <v>256395.68</v>
      </c>
      <c r="G1788" s="131">
        <f t="shared" si="133"/>
        <v>45946.105855999995</v>
      </c>
      <c r="H1788" s="156">
        <v>236408.03</v>
      </c>
      <c r="I1788" s="156">
        <v>0</v>
      </c>
      <c r="J1788" s="156">
        <v>0</v>
      </c>
      <c r="K1788" s="131">
        <f t="shared" si="134"/>
        <v>236408.03</v>
      </c>
      <c r="L1788" s="134">
        <v>0.1792</v>
      </c>
    </row>
    <row r="1789" spans="3:12">
      <c r="C1789" s="161">
        <f t="shared" si="132"/>
        <v>2017</v>
      </c>
      <c r="D1789" s="35" t="s">
        <v>287</v>
      </c>
      <c r="E1789" s="227">
        <v>42856</v>
      </c>
      <c r="F1789" s="156">
        <v>242765.63</v>
      </c>
      <c r="G1789" s="131">
        <f t="shared" si="133"/>
        <v>43503.600896000004</v>
      </c>
      <c r="H1789" s="156">
        <v>6168.57</v>
      </c>
      <c r="I1789" s="156">
        <v>0</v>
      </c>
      <c r="J1789" s="156">
        <v>0</v>
      </c>
      <c r="K1789" s="131">
        <f t="shared" si="134"/>
        <v>6168.57</v>
      </c>
      <c r="L1789" s="134">
        <v>0.1792</v>
      </c>
    </row>
    <row r="1790" spans="3:12">
      <c r="C1790" s="161">
        <f t="shared" si="132"/>
        <v>2017</v>
      </c>
      <c r="D1790" s="35" t="s">
        <v>287</v>
      </c>
      <c r="E1790" s="227">
        <v>42887</v>
      </c>
      <c r="F1790" s="156">
        <v>236444.73</v>
      </c>
      <c r="G1790" s="131">
        <f t="shared" si="133"/>
        <v>42370.895616000002</v>
      </c>
      <c r="H1790" s="156">
        <v>1948.98</v>
      </c>
      <c r="I1790" s="156">
        <v>0</v>
      </c>
      <c r="J1790" s="156">
        <v>0</v>
      </c>
      <c r="K1790" s="131">
        <f t="shared" si="134"/>
        <v>1948.98</v>
      </c>
      <c r="L1790" s="134">
        <v>0.1792</v>
      </c>
    </row>
    <row r="1791" spans="3:12">
      <c r="C1791" s="161">
        <f t="shared" si="132"/>
        <v>2017</v>
      </c>
      <c r="D1791" s="35" t="s">
        <v>287</v>
      </c>
      <c r="E1791" s="227">
        <v>42917</v>
      </c>
      <c r="F1791" s="156">
        <v>264241.90000000002</v>
      </c>
      <c r="G1791" s="131">
        <f t="shared" si="133"/>
        <v>47352.148480000003</v>
      </c>
      <c r="H1791" s="156">
        <v>823.99</v>
      </c>
      <c r="I1791" s="156">
        <v>0</v>
      </c>
      <c r="J1791" s="156">
        <v>12956.15</v>
      </c>
      <c r="K1791" s="131">
        <f t="shared" si="134"/>
        <v>13780.14</v>
      </c>
      <c r="L1791" s="134">
        <v>0.1792</v>
      </c>
    </row>
    <row r="1792" spans="3:12">
      <c r="C1792" s="161">
        <f t="shared" si="132"/>
        <v>2017</v>
      </c>
      <c r="D1792" s="35" t="s">
        <v>287</v>
      </c>
      <c r="E1792" s="227">
        <v>42948</v>
      </c>
      <c r="F1792" s="156">
        <v>282098.48</v>
      </c>
      <c r="G1792" s="131">
        <f t="shared" si="133"/>
        <v>50552.047615999996</v>
      </c>
      <c r="H1792" s="156">
        <v>791.5</v>
      </c>
      <c r="I1792" s="156">
        <v>0</v>
      </c>
      <c r="J1792" s="156">
        <v>0</v>
      </c>
      <c r="K1792" s="131">
        <f t="shared" si="134"/>
        <v>791.5</v>
      </c>
      <c r="L1792" s="134">
        <v>0.1792</v>
      </c>
    </row>
    <row r="1793" spans="3:12">
      <c r="C1793" s="161">
        <f t="shared" si="132"/>
        <v>2017</v>
      </c>
      <c r="D1793" s="35" t="s">
        <v>287</v>
      </c>
      <c r="E1793" s="227">
        <v>42979</v>
      </c>
      <c r="F1793" s="156">
        <v>320930.71000000002</v>
      </c>
      <c r="G1793" s="131">
        <f t="shared" si="133"/>
        <v>57510.783232000002</v>
      </c>
      <c r="H1793" s="156">
        <v>246.67</v>
      </c>
      <c r="I1793" s="156">
        <v>427.9</v>
      </c>
      <c r="J1793" s="156">
        <v>0</v>
      </c>
      <c r="K1793" s="131">
        <f t="shared" si="134"/>
        <v>674.56999999999994</v>
      </c>
      <c r="L1793" s="134">
        <v>0.1792</v>
      </c>
    </row>
    <row r="1794" spans="3:12">
      <c r="C1794" s="161">
        <f t="shared" si="132"/>
        <v>2017</v>
      </c>
      <c r="D1794" s="35" t="s">
        <v>287</v>
      </c>
      <c r="E1794" s="227">
        <v>43009</v>
      </c>
      <c r="F1794" s="156">
        <v>286321.03999999998</v>
      </c>
      <c r="G1794" s="131">
        <f t="shared" si="133"/>
        <v>51308.730367999997</v>
      </c>
      <c r="H1794" s="156">
        <v>430.13</v>
      </c>
      <c r="I1794" s="156">
        <v>63.02</v>
      </c>
      <c r="J1794" s="156">
        <v>0</v>
      </c>
      <c r="K1794" s="131">
        <f t="shared" si="134"/>
        <v>493.15</v>
      </c>
      <c r="L1794" s="134">
        <v>0.1792</v>
      </c>
    </row>
    <row r="1795" spans="3:12">
      <c r="C1795" s="161">
        <f t="shared" si="132"/>
        <v>2017</v>
      </c>
      <c r="D1795" s="35" t="s">
        <v>287</v>
      </c>
      <c r="E1795" s="227">
        <v>43040</v>
      </c>
      <c r="F1795" s="156">
        <v>276465.24</v>
      </c>
      <c r="G1795" s="131">
        <f t="shared" si="133"/>
        <v>49542.571007999999</v>
      </c>
      <c r="H1795" s="156">
        <v>404.44</v>
      </c>
      <c r="I1795" s="156">
        <v>24.33</v>
      </c>
      <c r="J1795" s="156">
        <v>0</v>
      </c>
      <c r="K1795" s="131">
        <f t="shared" si="134"/>
        <v>428.77</v>
      </c>
      <c r="L1795" s="134">
        <v>0.1792</v>
      </c>
    </row>
    <row r="1796" spans="3:12">
      <c r="C1796" s="161">
        <f t="shared" ref="C1796:C1859" si="135">YEAR(E1796)</f>
        <v>2017</v>
      </c>
      <c r="D1796" s="35" t="s">
        <v>287</v>
      </c>
      <c r="E1796" s="227">
        <v>43070</v>
      </c>
      <c r="F1796" s="156">
        <v>292956.25</v>
      </c>
      <c r="G1796" s="131">
        <f t="shared" ref="G1796:G1859" si="136">F1796*L1796</f>
        <v>52497.760000000002</v>
      </c>
      <c r="H1796" s="156">
        <v>436.22</v>
      </c>
      <c r="I1796" s="156">
        <v>0</v>
      </c>
      <c r="J1796" s="156">
        <v>0</v>
      </c>
      <c r="K1796" s="131">
        <f t="shared" ref="K1796:K1859" si="137">SUM(H1796:J1796)</f>
        <v>436.22</v>
      </c>
      <c r="L1796" s="134">
        <v>0.1792</v>
      </c>
    </row>
    <row r="1797" spans="3:12">
      <c r="C1797" s="161">
        <f t="shared" si="135"/>
        <v>2018</v>
      </c>
      <c r="D1797" s="35" t="s">
        <v>287</v>
      </c>
      <c r="E1797" s="227">
        <v>43101</v>
      </c>
      <c r="F1797" s="156">
        <v>268555.34999999998</v>
      </c>
      <c r="G1797" s="131">
        <f t="shared" si="136"/>
        <v>48125.118719999999</v>
      </c>
      <c r="H1797" s="156">
        <v>538.26</v>
      </c>
      <c r="I1797" s="156">
        <v>0</v>
      </c>
      <c r="J1797" s="156">
        <v>0</v>
      </c>
      <c r="K1797" s="131">
        <f t="shared" si="137"/>
        <v>538.26</v>
      </c>
      <c r="L1797" s="134">
        <v>0.1792</v>
      </c>
    </row>
    <row r="1798" spans="3:12">
      <c r="C1798" s="161">
        <f t="shared" si="135"/>
        <v>2018</v>
      </c>
      <c r="D1798" s="35" t="s">
        <v>287</v>
      </c>
      <c r="E1798" s="227">
        <v>43132</v>
      </c>
      <c r="F1798" s="156">
        <v>291924.52</v>
      </c>
      <c r="G1798" s="131">
        <f t="shared" si="136"/>
        <v>52312.873984000005</v>
      </c>
      <c r="H1798" s="156">
        <v>407.48</v>
      </c>
      <c r="I1798" s="156">
        <v>0</v>
      </c>
      <c r="J1798" s="156">
        <v>0</v>
      </c>
      <c r="K1798" s="131">
        <f t="shared" si="137"/>
        <v>407.48</v>
      </c>
      <c r="L1798" s="134">
        <v>0.1792</v>
      </c>
    </row>
    <row r="1799" spans="3:12">
      <c r="C1799" s="161">
        <f t="shared" si="135"/>
        <v>2018</v>
      </c>
      <c r="D1799" s="35" t="s">
        <v>287</v>
      </c>
      <c r="E1799" s="227">
        <v>43160</v>
      </c>
      <c r="F1799" s="156">
        <v>263265.96000000002</v>
      </c>
      <c r="G1799" s="131">
        <f t="shared" si="136"/>
        <v>47177.260032000006</v>
      </c>
      <c r="H1799" s="156">
        <v>465.49</v>
      </c>
      <c r="I1799" s="156">
        <v>13.84</v>
      </c>
      <c r="J1799" s="156">
        <v>0</v>
      </c>
      <c r="K1799" s="131">
        <f t="shared" si="137"/>
        <v>479.33</v>
      </c>
      <c r="L1799" s="134">
        <v>0.1792</v>
      </c>
    </row>
    <row r="1800" spans="3:12">
      <c r="C1800" s="161">
        <f t="shared" si="135"/>
        <v>2018</v>
      </c>
      <c r="D1800" s="35" t="s">
        <v>287</v>
      </c>
      <c r="E1800" s="227">
        <v>43191</v>
      </c>
      <c r="F1800" s="156">
        <v>288812.59000000003</v>
      </c>
      <c r="G1800" s="131">
        <f t="shared" si="136"/>
        <v>51755.216128000007</v>
      </c>
      <c r="H1800" s="156">
        <v>236.12</v>
      </c>
      <c r="I1800" s="156">
        <v>0</v>
      </c>
      <c r="J1800" s="156">
        <v>0</v>
      </c>
      <c r="K1800" s="131">
        <f t="shared" si="137"/>
        <v>236.12</v>
      </c>
      <c r="L1800" s="134">
        <v>0.1792</v>
      </c>
    </row>
    <row r="1801" spans="3:12">
      <c r="C1801" s="161">
        <f t="shared" si="135"/>
        <v>2018</v>
      </c>
      <c r="D1801" s="35" t="s">
        <v>287</v>
      </c>
      <c r="E1801" s="227">
        <v>43221</v>
      </c>
      <c r="F1801" s="156">
        <v>286498.71999999997</v>
      </c>
      <c r="G1801" s="131">
        <f t="shared" si="136"/>
        <v>51340.570623999993</v>
      </c>
      <c r="H1801" s="156">
        <v>686.03</v>
      </c>
      <c r="I1801" s="156">
        <v>124.93</v>
      </c>
      <c r="J1801" s="156">
        <v>0</v>
      </c>
      <c r="K1801" s="131">
        <f t="shared" si="137"/>
        <v>810.96</v>
      </c>
      <c r="L1801" s="134">
        <v>0.1792</v>
      </c>
    </row>
    <row r="1802" spans="3:12">
      <c r="C1802" s="161">
        <f t="shared" si="135"/>
        <v>2018</v>
      </c>
      <c r="D1802" s="35" t="s">
        <v>287</v>
      </c>
      <c r="E1802" s="227">
        <v>43252</v>
      </c>
      <c r="F1802" s="156">
        <v>265646.49</v>
      </c>
      <c r="G1802" s="131">
        <f t="shared" si="136"/>
        <v>47603.851007999998</v>
      </c>
      <c r="H1802" s="156">
        <v>513.46</v>
      </c>
      <c r="I1802" s="156">
        <v>0</v>
      </c>
      <c r="J1802" s="156">
        <v>1100</v>
      </c>
      <c r="K1802" s="131">
        <f t="shared" si="137"/>
        <v>1613.46</v>
      </c>
      <c r="L1802" s="134">
        <v>0.1792</v>
      </c>
    </row>
    <row r="1803" spans="3:12">
      <c r="C1803" s="161">
        <f t="shared" si="135"/>
        <v>2018</v>
      </c>
      <c r="D1803" s="35" t="s">
        <v>287</v>
      </c>
      <c r="E1803" s="227">
        <v>43282</v>
      </c>
      <c r="F1803" s="156">
        <v>277681.27</v>
      </c>
      <c r="G1803" s="131">
        <f t="shared" si="136"/>
        <v>49760.483584000001</v>
      </c>
      <c r="H1803" s="156">
        <v>692.15</v>
      </c>
      <c r="I1803" s="156">
        <v>0</v>
      </c>
      <c r="J1803" s="156">
        <v>0</v>
      </c>
      <c r="K1803" s="131">
        <f t="shared" si="137"/>
        <v>692.15</v>
      </c>
      <c r="L1803" s="134">
        <v>0.1792</v>
      </c>
    </row>
    <row r="1804" spans="3:12">
      <c r="C1804" s="161">
        <f t="shared" si="135"/>
        <v>2018</v>
      </c>
      <c r="D1804" s="35" t="s">
        <v>287</v>
      </c>
      <c r="E1804" s="227">
        <v>43313</v>
      </c>
      <c r="F1804" s="156">
        <v>263646.13</v>
      </c>
      <c r="G1804" s="131">
        <f t="shared" si="136"/>
        <v>47245.386495999999</v>
      </c>
      <c r="H1804" s="156">
        <v>480.48</v>
      </c>
      <c r="I1804" s="156">
        <v>0</v>
      </c>
      <c r="J1804" s="156">
        <v>0</v>
      </c>
      <c r="K1804" s="131">
        <f t="shared" si="137"/>
        <v>480.48</v>
      </c>
      <c r="L1804" s="134">
        <v>0.1792</v>
      </c>
    </row>
    <row r="1805" spans="3:12">
      <c r="C1805" s="161">
        <f t="shared" si="135"/>
        <v>2018</v>
      </c>
      <c r="D1805" s="35" t="s">
        <v>287</v>
      </c>
      <c r="E1805" s="227">
        <v>43344</v>
      </c>
      <c r="F1805" s="156">
        <v>285035.67</v>
      </c>
      <c r="G1805" s="131">
        <f t="shared" si="136"/>
        <v>51078.392064</v>
      </c>
      <c r="H1805" s="156">
        <v>611.91</v>
      </c>
      <c r="I1805" s="156">
        <v>0</v>
      </c>
      <c r="J1805" s="156">
        <v>0</v>
      </c>
      <c r="K1805" s="131">
        <f t="shared" si="137"/>
        <v>611.91</v>
      </c>
      <c r="L1805" s="134">
        <v>0.1792</v>
      </c>
    </row>
    <row r="1806" spans="3:12">
      <c r="C1806" s="161">
        <f t="shared" si="135"/>
        <v>2018</v>
      </c>
      <c r="D1806" s="35" t="s">
        <v>287</v>
      </c>
      <c r="E1806" s="227">
        <v>43374</v>
      </c>
      <c r="F1806" s="156">
        <v>263725.61</v>
      </c>
      <c r="G1806" s="131">
        <f t="shared" si="136"/>
        <v>47259.629311999997</v>
      </c>
      <c r="H1806" s="156">
        <v>19504</v>
      </c>
      <c r="I1806" s="156">
        <v>0</v>
      </c>
      <c r="J1806" s="156">
        <v>0</v>
      </c>
      <c r="K1806" s="131">
        <f t="shared" si="137"/>
        <v>19504</v>
      </c>
      <c r="L1806" s="134">
        <v>0.1792</v>
      </c>
    </row>
    <row r="1807" spans="3:12">
      <c r="C1807" s="161">
        <f t="shared" si="135"/>
        <v>2018</v>
      </c>
      <c r="D1807" s="35" t="s">
        <v>287</v>
      </c>
      <c r="E1807" s="227">
        <v>43405</v>
      </c>
      <c r="F1807" s="156">
        <v>289911.32939999999</v>
      </c>
      <c r="G1807" s="131">
        <f t="shared" si="136"/>
        <v>51952.11022848</v>
      </c>
      <c r="H1807" s="156">
        <v>340.36</v>
      </c>
      <c r="I1807" s="156">
        <v>0</v>
      </c>
      <c r="J1807" s="156">
        <v>43222.5</v>
      </c>
      <c r="K1807" s="131">
        <f t="shared" si="137"/>
        <v>43562.86</v>
      </c>
      <c r="L1807" s="134">
        <v>0.1792</v>
      </c>
    </row>
    <row r="1808" spans="3:12">
      <c r="C1808" s="161">
        <f t="shared" si="135"/>
        <v>2018</v>
      </c>
      <c r="D1808" s="35" t="s">
        <v>287</v>
      </c>
      <c r="E1808" s="227">
        <v>43435</v>
      </c>
      <c r="F1808" s="156">
        <v>311251.48</v>
      </c>
      <c r="G1808" s="131">
        <f t="shared" si="136"/>
        <v>55776.265215999993</v>
      </c>
      <c r="H1808" s="156">
        <v>944.68</v>
      </c>
      <c r="I1808" s="156" t="s">
        <v>267</v>
      </c>
      <c r="J1808" s="156" t="s">
        <v>267</v>
      </c>
      <c r="K1808" s="131">
        <f t="shared" si="137"/>
        <v>944.68</v>
      </c>
      <c r="L1808" s="134">
        <v>0.1792</v>
      </c>
    </row>
    <row r="1809" spans="3:12">
      <c r="C1809" s="161">
        <f t="shared" si="135"/>
        <v>2019</v>
      </c>
      <c r="D1809" s="35" t="s">
        <v>287</v>
      </c>
      <c r="E1809" s="227">
        <v>43466</v>
      </c>
      <c r="F1809" s="156">
        <v>320282.58</v>
      </c>
      <c r="G1809" s="131">
        <f t="shared" si="136"/>
        <v>57394.638336000004</v>
      </c>
      <c r="H1809" s="156">
        <v>737.14</v>
      </c>
      <c r="I1809" s="156">
        <v>0</v>
      </c>
      <c r="J1809" s="156">
        <v>0</v>
      </c>
      <c r="K1809" s="131">
        <f t="shared" si="137"/>
        <v>737.14</v>
      </c>
      <c r="L1809" s="134">
        <v>0.1792</v>
      </c>
    </row>
    <row r="1810" spans="3:12">
      <c r="C1810" s="161">
        <f t="shared" si="135"/>
        <v>2019</v>
      </c>
      <c r="D1810" s="35" t="s">
        <v>287</v>
      </c>
      <c r="E1810" s="227">
        <v>43497</v>
      </c>
      <c r="F1810" s="156">
        <v>294353.46999999997</v>
      </c>
      <c r="G1810" s="131">
        <f t="shared" si="136"/>
        <v>52748.141823999991</v>
      </c>
      <c r="H1810" s="156">
        <v>850.24</v>
      </c>
      <c r="I1810" s="156">
        <v>0</v>
      </c>
      <c r="J1810" s="156">
        <v>0</v>
      </c>
      <c r="K1810" s="131">
        <f t="shared" si="137"/>
        <v>850.24</v>
      </c>
      <c r="L1810" s="134">
        <v>0.1792</v>
      </c>
    </row>
    <row r="1811" spans="3:12">
      <c r="C1811" s="161">
        <f t="shared" si="135"/>
        <v>2019</v>
      </c>
      <c r="D1811" s="35" t="s">
        <v>287</v>
      </c>
      <c r="E1811" s="227">
        <v>43525</v>
      </c>
      <c r="F1811" s="156">
        <v>256104.09</v>
      </c>
      <c r="G1811" s="131">
        <f t="shared" si="136"/>
        <v>45893.852928</v>
      </c>
      <c r="H1811" s="156">
        <v>38561.49</v>
      </c>
      <c r="I1811" s="156">
        <v>0</v>
      </c>
      <c r="J1811" s="156">
        <v>0</v>
      </c>
      <c r="K1811" s="131">
        <f t="shared" si="137"/>
        <v>38561.49</v>
      </c>
      <c r="L1811" s="134">
        <v>0.1792</v>
      </c>
    </row>
    <row r="1812" spans="3:12">
      <c r="C1812" s="161">
        <f t="shared" si="135"/>
        <v>2019</v>
      </c>
      <c r="D1812" s="35" t="s">
        <v>287</v>
      </c>
      <c r="E1812" s="227">
        <v>43556</v>
      </c>
      <c r="F1812" s="156">
        <v>281271.19</v>
      </c>
      <c r="G1812" s="131">
        <f t="shared" si="136"/>
        <v>50403.797248000003</v>
      </c>
      <c r="H1812" s="156">
        <v>603.41999999999996</v>
      </c>
      <c r="I1812" s="156">
        <v>0</v>
      </c>
      <c r="J1812" s="156">
        <v>0</v>
      </c>
      <c r="K1812" s="131">
        <f t="shared" si="137"/>
        <v>603.41999999999996</v>
      </c>
      <c r="L1812" s="134">
        <v>0.1792</v>
      </c>
    </row>
    <row r="1813" spans="3:12">
      <c r="C1813" s="161">
        <f t="shared" si="135"/>
        <v>2019</v>
      </c>
      <c r="D1813" s="35" t="s">
        <v>287</v>
      </c>
      <c r="E1813" s="227">
        <v>43586</v>
      </c>
      <c r="F1813" s="156">
        <v>261304.24</v>
      </c>
      <c r="G1813" s="131">
        <f t="shared" si="136"/>
        <v>46825.719807999994</v>
      </c>
      <c r="H1813" s="156">
        <v>3244.64</v>
      </c>
      <c r="I1813" s="156">
        <v>0</v>
      </c>
      <c r="J1813" s="156">
        <v>0</v>
      </c>
      <c r="K1813" s="131">
        <f t="shared" si="137"/>
        <v>3244.64</v>
      </c>
      <c r="L1813" s="134">
        <v>0.1792</v>
      </c>
    </row>
    <row r="1814" spans="3:12">
      <c r="C1814" s="161">
        <f t="shared" si="135"/>
        <v>2019</v>
      </c>
      <c r="D1814" s="35" t="s">
        <v>287</v>
      </c>
      <c r="E1814" s="227">
        <v>43617</v>
      </c>
      <c r="F1814" s="156">
        <v>265680.83</v>
      </c>
      <c r="G1814" s="131">
        <f t="shared" si="136"/>
        <v>47610.004736000003</v>
      </c>
      <c r="H1814" s="156">
        <v>18247.82</v>
      </c>
      <c r="I1814" s="156">
        <v>0</v>
      </c>
      <c r="J1814" s="156">
        <v>0</v>
      </c>
      <c r="K1814" s="131">
        <f t="shared" si="137"/>
        <v>18247.82</v>
      </c>
      <c r="L1814" s="134">
        <v>0.1792</v>
      </c>
    </row>
    <row r="1815" spans="3:12">
      <c r="C1815" s="161">
        <f t="shared" si="135"/>
        <v>2019</v>
      </c>
      <c r="D1815" s="35" t="s">
        <v>287</v>
      </c>
      <c r="E1815" s="227">
        <v>43647</v>
      </c>
      <c r="F1815" s="156">
        <v>266152.13</v>
      </c>
      <c r="G1815" s="131">
        <f t="shared" si="136"/>
        <v>47694.461695999998</v>
      </c>
      <c r="H1815" s="156">
        <v>1105.9100000000001</v>
      </c>
      <c r="I1815" s="156">
        <v>0</v>
      </c>
      <c r="J1815" s="156">
        <v>0</v>
      </c>
      <c r="K1815" s="131">
        <f t="shared" si="137"/>
        <v>1105.9100000000001</v>
      </c>
      <c r="L1815" s="134">
        <v>0.1792</v>
      </c>
    </row>
    <row r="1816" spans="3:12">
      <c r="C1816" s="161">
        <f t="shared" si="135"/>
        <v>2019</v>
      </c>
      <c r="D1816" s="35" t="s">
        <v>287</v>
      </c>
      <c r="E1816" s="227">
        <v>43678</v>
      </c>
      <c r="F1816" s="156">
        <v>293496.93</v>
      </c>
      <c r="G1816" s="131">
        <f t="shared" si="136"/>
        <v>52594.649855999996</v>
      </c>
      <c r="H1816" s="156">
        <v>658.64</v>
      </c>
      <c r="I1816" s="156">
        <v>0</v>
      </c>
      <c r="J1816" s="156">
        <v>0</v>
      </c>
      <c r="K1816" s="131">
        <f t="shared" si="137"/>
        <v>658.64</v>
      </c>
      <c r="L1816" s="134">
        <v>0.1792</v>
      </c>
    </row>
    <row r="1817" spans="3:12">
      <c r="C1817" s="161">
        <f t="shared" si="135"/>
        <v>2019</v>
      </c>
      <c r="D1817" s="35" t="s">
        <v>287</v>
      </c>
      <c r="E1817" s="227">
        <v>43709</v>
      </c>
      <c r="F1817" s="156">
        <v>322401.51</v>
      </c>
      <c r="G1817" s="131">
        <f t="shared" si="136"/>
        <v>57774.350592000003</v>
      </c>
      <c r="H1817" s="156">
        <v>1302.0999999999999</v>
      </c>
      <c r="I1817" s="156">
        <v>0</v>
      </c>
      <c r="J1817" s="156">
        <v>0</v>
      </c>
      <c r="K1817" s="131">
        <f t="shared" si="137"/>
        <v>1302.0999999999999</v>
      </c>
      <c r="L1817" s="134">
        <v>0.1792</v>
      </c>
    </row>
    <row r="1818" spans="3:12">
      <c r="C1818" s="161">
        <f t="shared" si="135"/>
        <v>2019</v>
      </c>
      <c r="D1818" s="35" t="s">
        <v>287</v>
      </c>
      <c r="E1818" s="227">
        <v>43739</v>
      </c>
      <c r="F1818" s="156">
        <v>315632.8</v>
      </c>
      <c r="G1818" s="131">
        <f t="shared" si="136"/>
        <v>56561.39776</v>
      </c>
      <c r="H1818" s="156">
        <v>495.48</v>
      </c>
      <c r="I1818" s="156">
        <v>0</v>
      </c>
      <c r="J1818" s="156">
        <v>0</v>
      </c>
      <c r="K1818" s="131">
        <f t="shared" si="137"/>
        <v>495.48</v>
      </c>
      <c r="L1818" s="134">
        <v>0.1792</v>
      </c>
    </row>
    <row r="1819" spans="3:12">
      <c r="C1819" s="161">
        <f t="shared" si="135"/>
        <v>2019</v>
      </c>
      <c r="D1819" s="35" t="s">
        <v>287</v>
      </c>
      <c r="E1819" s="227">
        <v>43770</v>
      </c>
      <c r="F1819" s="156">
        <v>341451.06</v>
      </c>
      <c r="G1819" s="131">
        <f t="shared" si="136"/>
        <v>61188.029951999997</v>
      </c>
      <c r="H1819" s="156">
        <v>612.84</v>
      </c>
      <c r="I1819" s="156">
        <v>0</v>
      </c>
      <c r="J1819" s="156">
        <v>0</v>
      </c>
      <c r="K1819" s="131">
        <f t="shared" si="137"/>
        <v>612.84</v>
      </c>
      <c r="L1819" s="134">
        <v>0.1792</v>
      </c>
    </row>
    <row r="1820" spans="3:12">
      <c r="C1820" s="161">
        <f t="shared" si="135"/>
        <v>2019</v>
      </c>
      <c r="D1820" s="35" t="s">
        <v>287</v>
      </c>
      <c r="E1820" s="227">
        <v>43800</v>
      </c>
      <c r="F1820" s="156">
        <v>292584.03000000003</v>
      </c>
      <c r="G1820" s="131">
        <f t="shared" si="136"/>
        <v>52431.058176000006</v>
      </c>
      <c r="H1820" s="156">
        <v>489.48</v>
      </c>
      <c r="I1820" s="156">
        <v>1322.88</v>
      </c>
      <c r="J1820" s="156">
        <v>0</v>
      </c>
      <c r="K1820" s="131">
        <f t="shared" si="137"/>
        <v>1812.3600000000001</v>
      </c>
      <c r="L1820" s="134">
        <v>0.1792</v>
      </c>
    </row>
    <row r="1821" spans="3:12">
      <c r="C1821" s="161">
        <f t="shared" si="135"/>
        <v>2020</v>
      </c>
      <c r="D1821" s="35" t="s">
        <v>287</v>
      </c>
      <c r="E1821" s="227">
        <v>43831</v>
      </c>
      <c r="F1821" s="156">
        <v>310195.11</v>
      </c>
      <c r="G1821" s="131">
        <f t="shared" si="136"/>
        <v>55586.963711999997</v>
      </c>
      <c r="H1821" s="156">
        <v>653.15</v>
      </c>
      <c r="I1821" s="156">
        <v>2712.86</v>
      </c>
      <c r="J1821" s="156">
        <v>0</v>
      </c>
      <c r="K1821" s="131">
        <f t="shared" si="137"/>
        <v>3366.01</v>
      </c>
      <c r="L1821" s="134">
        <v>0.1792</v>
      </c>
    </row>
    <row r="1822" spans="3:12">
      <c r="C1822" s="161">
        <f t="shared" si="135"/>
        <v>2020</v>
      </c>
      <c r="D1822" s="35" t="s">
        <v>287</v>
      </c>
      <c r="E1822" s="227">
        <v>43862</v>
      </c>
      <c r="F1822" s="156">
        <v>298676.03999999998</v>
      </c>
      <c r="G1822" s="131">
        <f t="shared" si="136"/>
        <v>53522.746367999993</v>
      </c>
      <c r="H1822" s="156">
        <v>208.18</v>
      </c>
      <c r="I1822" s="156">
        <v>735.55</v>
      </c>
      <c r="J1822" s="156">
        <v>0</v>
      </c>
      <c r="K1822" s="131">
        <f t="shared" si="137"/>
        <v>943.73</v>
      </c>
      <c r="L1822" s="134">
        <v>0.1792</v>
      </c>
    </row>
    <row r="1823" spans="3:12">
      <c r="C1823" s="161">
        <f t="shared" si="135"/>
        <v>2020</v>
      </c>
      <c r="D1823" s="35" t="s">
        <v>287</v>
      </c>
      <c r="E1823" s="227">
        <v>43891</v>
      </c>
      <c r="F1823" s="156">
        <v>308069.05222499999</v>
      </c>
      <c r="G1823" s="131">
        <f t="shared" si="136"/>
        <v>55205.974158719997</v>
      </c>
      <c r="H1823" s="156">
        <v>757.19</v>
      </c>
      <c r="I1823" s="156">
        <v>1597.81</v>
      </c>
      <c r="J1823" s="156">
        <v>0</v>
      </c>
      <c r="K1823" s="131">
        <f t="shared" si="137"/>
        <v>2355</v>
      </c>
      <c r="L1823" s="134">
        <v>0.1792</v>
      </c>
    </row>
    <row r="1824" spans="3:12">
      <c r="C1824" s="161">
        <f t="shared" si="135"/>
        <v>2020</v>
      </c>
      <c r="D1824" s="35" t="s">
        <v>287</v>
      </c>
      <c r="E1824" s="227">
        <v>43922</v>
      </c>
      <c r="F1824" s="156">
        <v>317783.37689999997</v>
      </c>
      <c r="G1824" s="131">
        <f t="shared" si="136"/>
        <v>56946.781140479994</v>
      </c>
      <c r="H1824" s="156">
        <v>371.06</v>
      </c>
      <c r="I1824" s="156">
        <v>0</v>
      </c>
      <c r="J1824" s="156">
        <v>0</v>
      </c>
      <c r="K1824" s="131">
        <f t="shared" si="137"/>
        <v>371.06</v>
      </c>
      <c r="L1824" s="134">
        <v>0.1792</v>
      </c>
    </row>
    <row r="1825" spans="3:12">
      <c r="C1825" s="161">
        <f t="shared" si="135"/>
        <v>2020</v>
      </c>
      <c r="D1825" s="35" t="s">
        <v>287</v>
      </c>
      <c r="E1825" s="227">
        <v>43952</v>
      </c>
      <c r="F1825" s="156">
        <v>300606.18</v>
      </c>
      <c r="G1825" s="131">
        <f t="shared" si="136"/>
        <v>53868.627455999995</v>
      </c>
      <c r="H1825" s="156">
        <v>887.31</v>
      </c>
      <c r="I1825" s="156">
        <v>0</v>
      </c>
      <c r="J1825" s="156">
        <v>0</v>
      </c>
      <c r="K1825" s="131">
        <f t="shared" si="137"/>
        <v>887.31</v>
      </c>
      <c r="L1825" s="134">
        <v>0.1792</v>
      </c>
    </row>
    <row r="1826" spans="3:12">
      <c r="C1826" s="161">
        <f t="shared" si="135"/>
        <v>2020</v>
      </c>
      <c r="D1826" s="35" t="s">
        <v>287</v>
      </c>
      <c r="E1826" s="227">
        <v>43983</v>
      </c>
      <c r="F1826" s="156">
        <v>278467.55</v>
      </c>
      <c r="G1826" s="131">
        <f t="shared" si="136"/>
        <v>49901.384959999996</v>
      </c>
      <c r="H1826" s="156">
        <v>642.80999999999995</v>
      </c>
      <c r="I1826" s="156">
        <v>1457.69</v>
      </c>
      <c r="J1826" s="156">
        <v>0</v>
      </c>
      <c r="K1826" s="131">
        <f t="shared" si="137"/>
        <v>2100.5</v>
      </c>
      <c r="L1826" s="134">
        <v>0.1792</v>
      </c>
    </row>
    <row r="1827" spans="3:12">
      <c r="C1827" s="161">
        <f t="shared" si="135"/>
        <v>2020</v>
      </c>
      <c r="D1827" s="35" t="s">
        <v>287</v>
      </c>
      <c r="E1827" s="227">
        <v>44013</v>
      </c>
      <c r="F1827" s="156">
        <v>269249.14</v>
      </c>
      <c r="G1827" s="131">
        <f t="shared" si="136"/>
        <v>48249.445888000002</v>
      </c>
      <c r="H1827" s="156">
        <v>877.88</v>
      </c>
      <c r="I1827" s="156">
        <v>800.76</v>
      </c>
      <c r="J1827" s="156">
        <v>663.7</v>
      </c>
      <c r="K1827" s="131">
        <f t="shared" si="137"/>
        <v>2342.34</v>
      </c>
      <c r="L1827" s="134">
        <v>0.1792</v>
      </c>
    </row>
    <row r="1828" spans="3:12">
      <c r="C1828" s="161">
        <f t="shared" si="135"/>
        <v>2020</v>
      </c>
      <c r="D1828" s="35" t="s">
        <v>287</v>
      </c>
      <c r="E1828" s="227">
        <v>44044</v>
      </c>
      <c r="F1828" s="156">
        <v>303424.73</v>
      </c>
      <c r="G1828" s="131">
        <f t="shared" si="136"/>
        <v>54373.711615999993</v>
      </c>
      <c r="H1828" s="156">
        <v>519.39</v>
      </c>
      <c r="I1828" s="156">
        <v>1516.42</v>
      </c>
      <c r="J1828" s="156">
        <v>0</v>
      </c>
      <c r="K1828" s="131">
        <f t="shared" si="137"/>
        <v>2035.81</v>
      </c>
      <c r="L1828" s="134">
        <v>0.1792</v>
      </c>
    </row>
    <row r="1829" spans="3:12">
      <c r="C1829" s="161">
        <f t="shared" si="135"/>
        <v>2020</v>
      </c>
      <c r="D1829" s="35" t="s">
        <v>287</v>
      </c>
      <c r="E1829" s="227">
        <v>44075</v>
      </c>
      <c r="F1829" s="156">
        <v>325797.2</v>
      </c>
      <c r="G1829" s="131">
        <f t="shared" si="136"/>
        <v>58382.858240000001</v>
      </c>
      <c r="H1829" s="156">
        <v>486.45</v>
      </c>
      <c r="I1829" s="156">
        <v>642.35</v>
      </c>
      <c r="J1829" s="156">
        <v>0</v>
      </c>
      <c r="K1829" s="131">
        <f t="shared" si="137"/>
        <v>1128.8</v>
      </c>
      <c r="L1829" s="134">
        <v>0.1792</v>
      </c>
    </row>
    <row r="1830" spans="3:12">
      <c r="C1830" s="161">
        <f t="shared" si="135"/>
        <v>2020</v>
      </c>
      <c r="D1830" s="35" t="s">
        <v>287</v>
      </c>
      <c r="E1830" s="227">
        <v>44105</v>
      </c>
      <c r="F1830" s="156">
        <v>363831.01</v>
      </c>
      <c r="G1830" s="131">
        <f t="shared" si="136"/>
        <v>65198.516992000004</v>
      </c>
      <c r="H1830" s="156">
        <v>15329.23</v>
      </c>
      <c r="I1830" s="156">
        <v>3360645.38</v>
      </c>
      <c r="J1830" s="156">
        <v>0</v>
      </c>
      <c r="K1830" s="131">
        <f t="shared" si="137"/>
        <v>3375974.61</v>
      </c>
      <c r="L1830" s="134">
        <v>0.1792</v>
      </c>
    </row>
    <row r="1831" spans="3:12">
      <c r="C1831" s="161">
        <f t="shared" si="135"/>
        <v>2020</v>
      </c>
      <c r="D1831" s="35" t="s">
        <v>287</v>
      </c>
      <c r="E1831" s="227">
        <v>44136</v>
      </c>
      <c r="F1831" s="156">
        <v>326208.21000000002</v>
      </c>
      <c r="G1831" s="131">
        <f t="shared" si="136"/>
        <v>58456.511232000004</v>
      </c>
      <c r="H1831" s="156">
        <v>2508.56</v>
      </c>
      <c r="I1831" s="156">
        <v>0</v>
      </c>
      <c r="J1831" s="156">
        <v>0</v>
      </c>
      <c r="K1831" s="131">
        <f t="shared" si="137"/>
        <v>2508.56</v>
      </c>
      <c r="L1831" s="134">
        <v>0.1792</v>
      </c>
    </row>
    <row r="1832" spans="3:12">
      <c r="C1832" s="161">
        <f t="shared" si="135"/>
        <v>2020</v>
      </c>
      <c r="D1832" s="35" t="s">
        <v>287</v>
      </c>
      <c r="E1832" s="227">
        <v>44166</v>
      </c>
      <c r="F1832" s="156">
        <v>329220.69</v>
      </c>
      <c r="G1832" s="131">
        <f t="shared" si="136"/>
        <v>58996.347648000003</v>
      </c>
      <c r="H1832" s="156">
        <v>435.62</v>
      </c>
      <c r="I1832" s="156">
        <v>0</v>
      </c>
      <c r="J1832" s="156">
        <v>0</v>
      </c>
      <c r="K1832" s="131">
        <f t="shared" si="137"/>
        <v>435.62</v>
      </c>
      <c r="L1832" s="134">
        <v>0.1792</v>
      </c>
    </row>
    <row r="1833" spans="3:12">
      <c r="C1833" s="161">
        <f t="shared" si="135"/>
        <v>2021</v>
      </c>
      <c r="D1833" s="35" t="s">
        <v>287</v>
      </c>
      <c r="E1833" s="227">
        <v>44197</v>
      </c>
      <c r="F1833" s="156">
        <v>319581.09000000003</v>
      </c>
      <c r="G1833" s="131">
        <f t="shared" si="136"/>
        <v>57268.931328000006</v>
      </c>
      <c r="H1833" s="156">
        <v>443.48</v>
      </c>
      <c r="I1833" s="156">
        <v>0</v>
      </c>
      <c r="J1833" s="156">
        <v>0</v>
      </c>
      <c r="K1833" s="131">
        <f t="shared" si="137"/>
        <v>443.48</v>
      </c>
      <c r="L1833" s="134">
        <v>0.1792</v>
      </c>
    </row>
    <row r="1834" spans="3:12">
      <c r="C1834" s="161">
        <f t="shared" si="135"/>
        <v>2021</v>
      </c>
      <c r="D1834" s="35" t="s">
        <v>287</v>
      </c>
      <c r="E1834" s="227">
        <v>44229</v>
      </c>
      <c r="F1834" s="156">
        <v>307472.36</v>
      </c>
      <c r="G1834" s="131">
        <f t="shared" si="136"/>
        <v>55099.046911999998</v>
      </c>
      <c r="H1834" s="156">
        <v>470.86</v>
      </c>
      <c r="I1834" s="156">
        <v>2550.2399999999998</v>
      </c>
      <c r="J1834" s="156">
        <v>0</v>
      </c>
      <c r="K1834" s="131">
        <f t="shared" si="137"/>
        <v>3021.1</v>
      </c>
      <c r="L1834" s="134">
        <v>0.1792</v>
      </c>
    </row>
    <row r="1835" spans="3:12">
      <c r="C1835" s="161">
        <f t="shared" si="135"/>
        <v>2021</v>
      </c>
      <c r="D1835" s="35" t="s">
        <v>287</v>
      </c>
      <c r="E1835" s="227">
        <v>44258</v>
      </c>
      <c r="F1835" s="156">
        <v>302220.2</v>
      </c>
      <c r="G1835" s="131">
        <f t="shared" si="136"/>
        <v>54157.859840000005</v>
      </c>
      <c r="H1835" s="156">
        <v>897.84</v>
      </c>
      <c r="I1835" s="156">
        <v>1909.12</v>
      </c>
      <c r="J1835" s="156">
        <v>0</v>
      </c>
      <c r="K1835" s="131">
        <f t="shared" si="137"/>
        <v>2806.96</v>
      </c>
      <c r="L1835" s="134">
        <v>0.1792</v>
      </c>
    </row>
    <row r="1836" spans="3:12">
      <c r="C1836" s="161">
        <f t="shared" si="135"/>
        <v>2021</v>
      </c>
      <c r="D1836" s="35" t="s">
        <v>287</v>
      </c>
      <c r="E1836" s="227">
        <v>44290</v>
      </c>
      <c r="F1836" s="156">
        <v>328736.84999999998</v>
      </c>
      <c r="G1836" s="131">
        <f t="shared" si="136"/>
        <v>58909.643519999998</v>
      </c>
      <c r="H1836" s="156">
        <v>838.35</v>
      </c>
      <c r="I1836" s="156">
        <v>1889.05</v>
      </c>
      <c r="J1836" s="156">
        <v>0</v>
      </c>
      <c r="K1836" s="131">
        <f t="shared" si="137"/>
        <v>2727.4</v>
      </c>
      <c r="L1836" s="134">
        <v>0.1792</v>
      </c>
    </row>
    <row r="1837" spans="3:12">
      <c r="C1837" s="161">
        <f t="shared" si="135"/>
        <v>2021</v>
      </c>
      <c r="D1837" s="35" t="s">
        <v>287</v>
      </c>
      <c r="E1837" s="227">
        <v>44321</v>
      </c>
      <c r="F1837" s="156">
        <v>299963.93</v>
      </c>
      <c r="G1837" s="131">
        <f t="shared" si="136"/>
        <v>53753.536255999999</v>
      </c>
      <c r="H1837" s="156">
        <v>868.94</v>
      </c>
      <c r="I1837" s="156">
        <v>0</v>
      </c>
      <c r="J1837" s="156">
        <v>0</v>
      </c>
      <c r="K1837" s="131">
        <f t="shared" si="137"/>
        <v>868.94</v>
      </c>
      <c r="L1837" s="134">
        <v>0.1792</v>
      </c>
    </row>
    <row r="1838" spans="3:12">
      <c r="C1838" s="161">
        <f t="shared" si="135"/>
        <v>2021</v>
      </c>
      <c r="D1838" s="35" t="s">
        <v>287</v>
      </c>
      <c r="E1838" s="227">
        <v>44353</v>
      </c>
      <c r="F1838" s="156">
        <v>294619.88</v>
      </c>
      <c r="G1838" s="131">
        <f t="shared" si="136"/>
        <v>52795.882495999998</v>
      </c>
      <c r="H1838" s="156">
        <v>659.33</v>
      </c>
      <c r="I1838" s="156">
        <v>0</v>
      </c>
      <c r="J1838" s="156">
        <v>0</v>
      </c>
      <c r="K1838" s="131">
        <f t="shared" si="137"/>
        <v>659.33</v>
      </c>
      <c r="L1838" s="134">
        <v>0.1792</v>
      </c>
    </row>
    <row r="1839" spans="3:12">
      <c r="C1839" s="161">
        <f t="shared" si="135"/>
        <v>2015</v>
      </c>
      <c r="D1839" s="35" t="s">
        <v>288</v>
      </c>
      <c r="E1839" s="227">
        <v>42309</v>
      </c>
      <c r="F1839" s="156">
        <v>403087.28</v>
      </c>
      <c r="G1839" s="131">
        <f t="shared" si="136"/>
        <v>72233.240576000011</v>
      </c>
      <c r="H1839" s="156">
        <v>2716.02</v>
      </c>
      <c r="I1839" s="156">
        <v>44354.07</v>
      </c>
      <c r="J1839" s="156">
        <v>0</v>
      </c>
      <c r="K1839" s="131">
        <f t="shared" si="137"/>
        <v>47070.09</v>
      </c>
      <c r="L1839" s="134">
        <v>0.1792</v>
      </c>
    </row>
    <row r="1840" spans="3:12">
      <c r="C1840" s="161">
        <f t="shared" si="135"/>
        <v>2015</v>
      </c>
      <c r="D1840" s="35" t="s">
        <v>288</v>
      </c>
      <c r="E1840" s="227">
        <v>42339</v>
      </c>
      <c r="F1840" s="156">
        <v>368832.18</v>
      </c>
      <c r="G1840" s="131">
        <f t="shared" si="136"/>
        <v>66094.726655999999</v>
      </c>
      <c r="H1840" s="156">
        <v>2544.6799999999998</v>
      </c>
      <c r="I1840" s="156">
        <v>0</v>
      </c>
      <c r="J1840" s="156">
        <v>0</v>
      </c>
      <c r="K1840" s="131">
        <f t="shared" si="137"/>
        <v>2544.6799999999998</v>
      </c>
      <c r="L1840" s="134">
        <v>0.1792</v>
      </c>
    </row>
    <row r="1841" spans="3:12">
      <c r="C1841" s="161">
        <f t="shared" si="135"/>
        <v>2016</v>
      </c>
      <c r="D1841" s="35" t="s">
        <v>288</v>
      </c>
      <c r="E1841" s="227">
        <v>42370</v>
      </c>
      <c r="F1841" s="156">
        <v>409319.22</v>
      </c>
      <c r="G1841" s="131">
        <f t="shared" si="136"/>
        <v>73350.004223999989</v>
      </c>
      <c r="H1841" s="156">
        <v>2044960.62</v>
      </c>
      <c r="I1841" s="156">
        <v>760668.85</v>
      </c>
      <c r="J1841" s="156">
        <v>0</v>
      </c>
      <c r="K1841" s="131">
        <f t="shared" si="137"/>
        <v>2805629.47</v>
      </c>
      <c r="L1841" s="134">
        <v>0.1792</v>
      </c>
    </row>
    <row r="1842" spans="3:12">
      <c r="C1842" s="161">
        <f t="shared" si="135"/>
        <v>2016</v>
      </c>
      <c r="D1842" s="35" t="s">
        <v>288</v>
      </c>
      <c r="E1842" s="227">
        <v>42401</v>
      </c>
      <c r="F1842" s="156">
        <v>400617.55</v>
      </c>
      <c r="G1842" s="131">
        <f t="shared" si="136"/>
        <v>71790.664959999995</v>
      </c>
      <c r="H1842" s="156">
        <v>131428.22</v>
      </c>
      <c r="I1842" s="156">
        <v>0</v>
      </c>
      <c r="J1842" s="156">
        <v>1868.78</v>
      </c>
      <c r="K1842" s="131">
        <f t="shared" si="137"/>
        <v>133297</v>
      </c>
      <c r="L1842" s="134">
        <v>0.1792</v>
      </c>
    </row>
    <row r="1843" spans="3:12">
      <c r="C1843" s="161">
        <f t="shared" si="135"/>
        <v>2016</v>
      </c>
      <c r="D1843" s="35" t="s">
        <v>288</v>
      </c>
      <c r="E1843" s="227">
        <v>42430</v>
      </c>
      <c r="F1843" s="156">
        <v>369458.42</v>
      </c>
      <c r="G1843" s="131">
        <f t="shared" si="136"/>
        <v>66206.948863999991</v>
      </c>
      <c r="H1843" s="156">
        <v>33493.99</v>
      </c>
      <c r="I1843" s="156">
        <v>0</v>
      </c>
      <c r="J1843" s="156">
        <v>0</v>
      </c>
      <c r="K1843" s="131">
        <f t="shared" si="137"/>
        <v>33493.99</v>
      </c>
      <c r="L1843" s="134">
        <v>0.1792</v>
      </c>
    </row>
    <row r="1844" spans="3:12">
      <c r="C1844" s="161">
        <f t="shared" si="135"/>
        <v>2016</v>
      </c>
      <c r="D1844" s="35" t="s">
        <v>288</v>
      </c>
      <c r="E1844" s="227">
        <v>42461</v>
      </c>
      <c r="F1844" s="156">
        <v>418280.01</v>
      </c>
      <c r="G1844" s="131">
        <f t="shared" si="136"/>
        <v>74955.777792000008</v>
      </c>
      <c r="H1844" s="156">
        <v>6592.09</v>
      </c>
      <c r="I1844" s="156">
        <v>1404.69</v>
      </c>
      <c r="J1844" s="156">
        <v>0</v>
      </c>
      <c r="K1844" s="131">
        <f t="shared" si="137"/>
        <v>7996.7800000000007</v>
      </c>
      <c r="L1844" s="134">
        <v>0.1792</v>
      </c>
    </row>
    <row r="1845" spans="3:12">
      <c r="C1845" s="161">
        <f t="shared" si="135"/>
        <v>2016</v>
      </c>
      <c r="D1845" s="35" t="s">
        <v>288</v>
      </c>
      <c r="E1845" s="227">
        <v>42491</v>
      </c>
      <c r="F1845" s="156">
        <v>378629.08</v>
      </c>
      <c r="G1845" s="131">
        <f t="shared" si="136"/>
        <v>67850.331136000008</v>
      </c>
      <c r="H1845" s="156">
        <v>3835.73</v>
      </c>
      <c r="I1845" s="156">
        <v>0</v>
      </c>
      <c r="J1845" s="156">
        <v>0</v>
      </c>
      <c r="K1845" s="131">
        <f t="shared" si="137"/>
        <v>3835.73</v>
      </c>
      <c r="L1845" s="134">
        <v>0.1792</v>
      </c>
    </row>
    <row r="1846" spans="3:12">
      <c r="C1846" s="161">
        <f t="shared" si="135"/>
        <v>2016</v>
      </c>
      <c r="D1846" s="35" t="s">
        <v>288</v>
      </c>
      <c r="E1846" s="227">
        <v>42522</v>
      </c>
      <c r="F1846" s="156">
        <v>366612.59</v>
      </c>
      <c r="G1846" s="131">
        <f t="shared" si="136"/>
        <v>65696.976128000009</v>
      </c>
      <c r="H1846" s="156">
        <v>9642.4</v>
      </c>
      <c r="I1846" s="156">
        <v>328655.2</v>
      </c>
      <c r="J1846" s="156">
        <v>9973.35</v>
      </c>
      <c r="K1846" s="131">
        <f t="shared" si="137"/>
        <v>348270.95</v>
      </c>
      <c r="L1846" s="134">
        <v>0.1792</v>
      </c>
    </row>
    <row r="1847" spans="3:12">
      <c r="C1847" s="161">
        <f t="shared" si="135"/>
        <v>2016</v>
      </c>
      <c r="D1847" s="35" t="s">
        <v>288</v>
      </c>
      <c r="E1847" s="227">
        <v>42552</v>
      </c>
      <c r="F1847" s="156">
        <v>421304.13</v>
      </c>
      <c r="G1847" s="131">
        <f t="shared" si="136"/>
        <v>75497.700096</v>
      </c>
      <c r="H1847" s="156">
        <v>6061.43</v>
      </c>
      <c r="I1847" s="156">
        <v>7227.46</v>
      </c>
      <c r="J1847" s="156">
        <v>0</v>
      </c>
      <c r="K1847" s="131">
        <f t="shared" si="137"/>
        <v>13288.89</v>
      </c>
      <c r="L1847" s="134">
        <v>0.1792</v>
      </c>
    </row>
    <row r="1848" spans="3:12">
      <c r="C1848" s="161">
        <f t="shared" si="135"/>
        <v>2016</v>
      </c>
      <c r="D1848" s="35" t="s">
        <v>288</v>
      </c>
      <c r="E1848" s="227">
        <v>42583</v>
      </c>
      <c r="F1848" s="156">
        <v>426884.06</v>
      </c>
      <c r="G1848" s="131">
        <f t="shared" si="136"/>
        <v>76497.623552000005</v>
      </c>
      <c r="H1848" s="156">
        <v>5778.38</v>
      </c>
      <c r="I1848" s="156">
        <v>3074.31</v>
      </c>
      <c r="J1848" s="156">
        <v>0</v>
      </c>
      <c r="K1848" s="131">
        <f t="shared" si="137"/>
        <v>8852.69</v>
      </c>
      <c r="L1848" s="134">
        <v>0.1792</v>
      </c>
    </row>
    <row r="1849" spans="3:12">
      <c r="C1849" s="161">
        <f t="shared" si="135"/>
        <v>2016</v>
      </c>
      <c r="D1849" s="35" t="s">
        <v>288</v>
      </c>
      <c r="E1849" s="227">
        <v>42614</v>
      </c>
      <c r="F1849" s="156">
        <v>432635.51</v>
      </c>
      <c r="G1849" s="131">
        <f t="shared" si="136"/>
        <v>77528.283391999998</v>
      </c>
      <c r="H1849" s="156">
        <v>6141.37</v>
      </c>
      <c r="I1849" s="156">
        <v>1322.91</v>
      </c>
      <c r="J1849" s="156">
        <v>0</v>
      </c>
      <c r="K1849" s="131">
        <f t="shared" si="137"/>
        <v>7464.28</v>
      </c>
      <c r="L1849" s="134">
        <v>0.1792</v>
      </c>
    </row>
    <row r="1850" spans="3:12">
      <c r="C1850" s="161">
        <f t="shared" si="135"/>
        <v>2016</v>
      </c>
      <c r="D1850" s="35" t="s">
        <v>288</v>
      </c>
      <c r="E1850" s="227">
        <v>42644</v>
      </c>
      <c r="F1850" s="156">
        <v>434098.79</v>
      </c>
      <c r="G1850" s="131">
        <f t="shared" si="136"/>
        <v>77790.503167999996</v>
      </c>
      <c r="H1850" s="156">
        <v>9727.09</v>
      </c>
      <c r="I1850" s="156">
        <v>3203.2</v>
      </c>
      <c r="J1850" s="156">
        <v>2037</v>
      </c>
      <c r="K1850" s="131">
        <f t="shared" si="137"/>
        <v>14967.29</v>
      </c>
      <c r="L1850" s="134">
        <v>0.1792</v>
      </c>
    </row>
    <row r="1851" spans="3:12">
      <c r="C1851" s="161">
        <f t="shared" si="135"/>
        <v>2016</v>
      </c>
      <c r="D1851" s="35" t="s">
        <v>288</v>
      </c>
      <c r="E1851" s="227">
        <v>42675</v>
      </c>
      <c r="F1851" s="156">
        <v>472293.1</v>
      </c>
      <c r="G1851" s="131">
        <f t="shared" si="136"/>
        <v>84634.923519999997</v>
      </c>
      <c r="H1851" s="156">
        <v>12192.34</v>
      </c>
      <c r="I1851" s="156">
        <v>311997.88</v>
      </c>
      <c r="J1851" s="156">
        <v>0</v>
      </c>
      <c r="K1851" s="131">
        <f t="shared" si="137"/>
        <v>324190.22000000003</v>
      </c>
      <c r="L1851" s="134">
        <v>0.1792</v>
      </c>
    </row>
    <row r="1852" spans="3:12">
      <c r="C1852" s="161">
        <f t="shared" si="135"/>
        <v>2016</v>
      </c>
      <c r="D1852" s="35" t="s">
        <v>288</v>
      </c>
      <c r="E1852" s="227">
        <v>42705</v>
      </c>
      <c r="F1852" s="156">
        <v>467366.97</v>
      </c>
      <c r="G1852" s="131">
        <f t="shared" si="136"/>
        <v>83752.161024000001</v>
      </c>
      <c r="H1852" s="156">
        <v>13507.11</v>
      </c>
      <c r="I1852" s="156">
        <v>1524.15</v>
      </c>
      <c r="J1852" s="156">
        <v>450.2</v>
      </c>
      <c r="K1852" s="131">
        <f t="shared" si="137"/>
        <v>15481.460000000001</v>
      </c>
      <c r="L1852" s="134">
        <v>0.1792</v>
      </c>
    </row>
    <row r="1853" spans="3:12">
      <c r="C1853" s="161">
        <f t="shared" si="135"/>
        <v>2017</v>
      </c>
      <c r="D1853" s="35" t="s">
        <v>288</v>
      </c>
      <c r="E1853" s="227">
        <v>42736</v>
      </c>
      <c r="F1853" s="156">
        <v>495537.94</v>
      </c>
      <c r="G1853" s="131">
        <f t="shared" si="136"/>
        <v>88800.398847999997</v>
      </c>
      <c r="H1853" s="156">
        <v>967.25</v>
      </c>
      <c r="I1853" s="156">
        <v>1883.4</v>
      </c>
      <c r="J1853" s="156">
        <v>2523.3200000000002</v>
      </c>
      <c r="K1853" s="131">
        <f t="shared" si="137"/>
        <v>5373.97</v>
      </c>
      <c r="L1853" s="134">
        <v>0.1792</v>
      </c>
    </row>
    <row r="1854" spans="3:12">
      <c r="C1854" s="161">
        <f t="shared" si="135"/>
        <v>2017</v>
      </c>
      <c r="D1854" s="35" t="s">
        <v>288</v>
      </c>
      <c r="E1854" s="227">
        <v>42767</v>
      </c>
      <c r="F1854" s="156">
        <v>458125.02</v>
      </c>
      <c r="G1854" s="131">
        <f t="shared" si="136"/>
        <v>82096.003584000006</v>
      </c>
      <c r="H1854" s="156">
        <v>3806.4</v>
      </c>
      <c r="I1854" s="156">
        <v>26729.37</v>
      </c>
      <c r="J1854" s="156">
        <v>790</v>
      </c>
      <c r="K1854" s="131">
        <f t="shared" si="137"/>
        <v>31325.77</v>
      </c>
      <c r="L1854" s="134">
        <v>0.1792</v>
      </c>
    </row>
    <row r="1855" spans="3:12">
      <c r="C1855" s="161">
        <f t="shared" si="135"/>
        <v>2017</v>
      </c>
      <c r="D1855" s="35" t="s">
        <v>288</v>
      </c>
      <c r="E1855" s="227">
        <v>42795</v>
      </c>
      <c r="F1855" s="156">
        <v>443958.39</v>
      </c>
      <c r="G1855" s="131">
        <f t="shared" si="136"/>
        <v>79557.343487999999</v>
      </c>
      <c r="H1855" s="156">
        <v>6893.68</v>
      </c>
      <c r="I1855" s="156">
        <v>0</v>
      </c>
      <c r="J1855" s="156">
        <v>336.2</v>
      </c>
      <c r="K1855" s="131">
        <f t="shared" si="137"/>
        <v>7229.88</v>
      </c>
      <c r="L1855" s="134">
        <v>0.1792</v>
      </c>
    </row>
    <row r="1856" spans="3:12">
      <c r="C1856" s="161">
        <f t="shared" si="135"/>
        <v>2017</v>
      </c>
      <c r="D1856" s="35" t="s">
        <v>288</v>
      </c>
      <c r="E1856" s="227">
        <v>42826</v>
      </c>
      <c r="F1856" s="156">
        <v>417777.56</v>
      </c>
      <c r="G1856" s="131">
        <f t="shared" si="136"/>
        <v>74865.738752000005</v>
      </c>
      <c r="H1856" s="156">
        <v>1284.58</v>
      </c>
      <c r="I1856" s="156">
        <v>1471.17</v>
      </c>
      <c r="J1856" s="156">
        <v>0</v>
      </c>
      <c r="K1856" s="131">
        <f t="shared" si="137"/>
        <v>2755.75</v>
      </c>
      <c r="L1856" s="134">
        <v>0.1792</v>
      </c>
    </row>
    <row r="1857" spans="3:12">
      <c r="C1857" s="161">
        <f t="shared" si="135"/>
        <v>2017</v>
      </c>
      <c r="D1857" s="35" t="s">
        <v>288</v>
      </c>
      <c r="E1857" s="227">
        <v>42856</v>
      </c>
      <c r="F1857" s="156">
        <v>418908.22</v>
      </c>
      <c r="G1857" s="131">
        <f t="shared" si="136"/>
        <v>75068.353023999996</v>
      </c>
      <c r="H1857" s="156">
        <v>2621.53</v>
      </c>
      <c r="I1857" s="156">
        <v>0</v>
      </c>
      <c r="J1857" s="156">
        <v>0</v>
      </c>
      <c r="K1857" s="131">
        <f t="shared" si="137"/>
        <v>2621.53</v>
      </c>
      <c r="L1857" s="134">
        <v>0.1792</v>
      </c>
    </row>
    <row r="1858" spans="3:12">
      <c r="C1858" s="161">
        <f t="shared" si="135"/>
        <v>2017</v>
      </c>
      <c r="D1858" s="35" t="s">
        <v>288</v>
      </c>
      <c r="E1858" s="227">
        <v>42887</v>
      </c>
      <c r="F1858" s="156">
        <v>413562.84</v>
      </c>
      <c r="G1858" s="131">
        <f t="shared" si="136"/>
        <v>74110.460928</v>
      </c>
      <c r="H1858" s="156">
        <v>14178.41</v>
      </c>
      <c r="I1858" s="156">
        <v>3462.68</v>
      </c>
      <c r="J1858" s="156">
        <v>417.66</v>
      </c>
      <c r="K1858" s="131">
        <f t="shared" si="137"/>
        <v>18058.75</v>
      </c>
      <c r="L1858" s="134">
        <v>0.1792</v>
      </c>
    </row>
    <row r="1859" spans="3:12">
      <c r="C1859" s="161">
        <f t="shared" si="135"/>
        <v>2017</v>
      </c>
      <c r="D1859" s="35" t="s">
        <v>288</v>
      </c>
      <c r="E1859" s="227">
        <v>42917</v>
      </c>
      <c r="F1859" s="156">
        <v>440361.95</v>
      </c>
      <c r="G1859" s="131">
        <f t="shared" si="136"/>
        <v>78912.861440000008</v>
      </c>
      <c r="H1859" s="156">
        <v>28516.58</v>
      </c>
      <c r="I1859" s="156">
        <v>3058.7</v>
      </c>
      <c r="J1859" s="156">
        <v>1816.3</v>
      </c>
      <c r="K1859" s="131">
        <f t="shared" si="137"/>
        <v>33391.58</v>
      </c>
      <c r="L1859" s="134">
        <v>0.1792</v>
      </c>
    </row>
    <row r="1860" spans="3:12">
      <c r="C1860" s="161">
        <f t="shared" ref="C1860:C1923" si="138">YEAR(E1860)</f>
        <v>2017</v>
      </c>
      <c r="D1860" s="35" t="s">
        <v>288</v>
      </c>
      <c r="E1860" s="227">
        <v>42948</v>
      </c>
      <c r="F1860" s="156">
        <v>481784.93</v>
      </c>
      <c r="G1860" s="131">
        <f t="shared" ref="G1860:G1923" si="139">F1860*L1860</f>
        <v>86335.859455999991</v>
      </c>
      <c r="H1860" s="156">
        <v>3605.64</v>
      </c>
      <c r="I1860" s="156">
        <v>6661.93</v>
      </c>
      <c r="J1860" s="156">
        <v>0</v>
      </c>
      <c r="K1860" s="131">
        <f t="shared" ref="K1860:K1923" si="140">SUM(H1860:J1860)</f>
        <v>10267.57</v>
      </c>
      <c r="L1860" s="134">
        <v>0.1792</v>
      </c>
    </row>
    <row r="1861" spans="3:12">
      <c r="C1861" s="161">
        <f t="shared" si="138"/>
        <v>2017</v>
      </c>
      <c r="D1861" s="35" t="s">
        <v>288</v>
      </c>
      <c r="E1861" s="227">
        <v>42979</v>
      </c>
      <c r="F1861" s="156">
        <v>499317.44</v>
      </c>
      <c r="G1861" s="131">
        <f t="shared" si="139"/>
        <v>89477.685247999994</v>
      </c>
      <c r="H1861" s="156">
        <v>17288.62</v>
      </c>
      <c r="I1861" s="156">
        <v>5123.93</v>
      </c>
      <c r="J1861" s="156">
        <v>15818.78</v>
      </c>
      <c r="K1861" s="131">
        <f t="shared" si="140"/>
        <v>38231.33</v>
      </c>
      <c r="L1861" s="134">
        <v>0.1792</v>
      </c>
    </row>
    <row r="1862" spans="3:12">
      <c r="C1862" s="161">
        <f t="shared" si="138"/>
        <v>2017</v>
      </c>
      <c r="D1862" s="35" t="s">
        <v>288</v>
      </c>
      <c r="E1862" s="227">
        <v>43009</v>
      </c>
      <c r="F1862" s="156">
        <v>491830.87</v>
      </c>
      <c r="G1862" s="131">
        <f t="shared" si="139"/>
        <v>88136.091904000001</v>
      </c>
      <c r="H1862" s="156">
        <v>17602.650000000001</v>
      </c>
      <c r="I1862" s="156">
        <v>199310.52</v>
      </c>
      <c r="J1862" s="156">
        <v>24330.63</v>
      </c>
      <c r="K1862" s="131">
        <f t="shared" si="140"/>
        <v>241243.8</v>
      </c>
      <c r="L1862" s="134">
        <v>0.1792</v>
      </c>
    </row>
    <row r="1863" spans="3:12">
      <c r="C1863" s="161">
        <f t="shared" si="138"/>
        <v>2017</v>
      </c>
      <c r="D1863" s="35" t="s">
        <v>288</v>
      </c>
      <c r="E1863" s="227">
        <v>43040</v>
      </c>
      <c r="F1863" s="156">
        <v>488400.75</v>
      </c>
      <c r="G1863" s="131">
        <f t="shared" si="139"/>
        <v>87521.414399999994</v>
      </c>
      <c r="H1863" s="156">
        <v>7541.09</v>
      </c>
      <c r="I1863" s="156">
        <v>0</v>
      </c>
      <c r="J1863" s="156">
        <v>141276.97</v>
      </c>
      <c r="K1863" s="131">
        <f t="shared" si="140"/>
        <v>148818.06</v>
      </c>
      <c r="L1863" s="134">
        <v>0.1792</v>
      </c>
    </row>
    <row r="1864" spans="3:12">
      <c r="C1864" s="161">
        <f t="shared" si="138"/>
        <v>2017</v>
      </c>
      <c r="D1864" s="35" t="s">
        <v>288</v>
      </c>
      <c r="E1864" s="227">
        <v>43070</v>
      </c>
      <c r="F1864" s="156">
        <v>497682.96</v>
      </c>
      <c r="G1864" s="131">
        <f t="shared" si="139"/>
        <v>89184.786432000008</v>
      </c>
      <c r="H1864" s="156">
        <v>23896.35</v>
      </c>
      <c r="I1864" s="156">
        <v>4730.3900000000003</v>
      </c>
      <c r="J1864" s="156">
        <v>16000</v>
      </c>
      <c r="K1864" s="131">
        <f t="shared" si="140"/>
        <v>44626.74</v>
      </c>
      <c r="L1864" s="134">
        <v>0.1792</v>
      </c>
    </row>
    <row r="1865" spans="3:12">
      <c r="C1865" s="161">
        <f t="shared" si="138"/>
        <v>2018</v>
      </c>
      <c r="D1865" s="35" t="s">
        <v>288</v>
      </c>
      <c r="E1865" s="227">
        <v>43101</v>
      </c>
      <c r="F1865" s="156">
        <v>477295.98</v>
      </c>
      <c r="G1865" s="131">
        <f t="shared" si="139"/>
        <v>85531.439615999989</v>
      </c>
      <c r="H1865" s="156">
        <v>189460.02</v>
      </c>
      <c r="I1865" s="156">
        <v>0</v>
      </c>
      <c r="J1865" s="156">
        <v>0</v>
      </c>
      <c r="K1865" s="131">
        <f t="shared" si="140"/>
        <v>189460.02</v>
      </c>
      <c r="L1865" s="134">
        <v>0.1792</v>
      </c>
    </row>
    <row r="1866" spans="3:12">
      <c r="C1866" s="161">
        <f t="shared" si="138"/>
        <v>2018</v>
      </c>
      <c r="D1866" s="35" t="s">
        <v>288</v>
      </c>
      <c r="E1866" s="227">
        <v>43132</v>
      </c>
      <c r="F1866" s="156">
        <v>486568.82</v>
      </c>
      <c r="G1866" s="131">
        <f t="shared" si="139"/>
        <v>87193.132544000007</v>
      </c>
      <c r="H1866" s="156">
        <v>2318.77</v>
      </c>
      <c r="I1866" s="156">
        <v>41340.74</v>
      </c>
      <c r="J1866" s="156">
        <v>0</v>
      </c>
      <c r="K1866" s="131">
        <f t="shared" si="140"/>
        <v>43659.509999999995</v>
      </c>
      <c r="L1866" s="134">
        <v>0.1792</v>
      </c>
    </row>
    <row r="1867" spans="3:12">
      <c r="C1867" s="161">
        <f t="shared" si="138"/>
        <v>2018</v>
      </c>
      <c r="D1867" s="35" t="s">
        <v>288</v>
      </c>
      <c r="E1867" s="227">
        <v>43160</v>
      </c>
      <c r="F1867" s="156">
        <v>442550.05</v>
      </c>
      <c r="G1867" s="131">
        <f t="shared" si="139"/>
        <v>79304.968959999998</v>
      </c>
      <c r="H1867" s="156">
        <v>2801.4</v>
      </c>
      <c r="I1867" s="156">
        <v>5009.7299999999996</v>
      </c>
      <c r="J1867" s="156">
        <v>0</v>
      </c>
      <c r="K1867" s="131">
        <f t="shared" si="140"/>
        <v>7811.1299999999992</v>
      </c>
      <c r="L1867" s="134">
        <v>0.1792</v>
      </c>
    </row>
    <row r="1868" spans="3:12">
      <c r="C1868" s="161">
        <f t="shared" si="138"/>
        <v>2018</v>
      </c>
      <c r="D1868" s="35" t="s">
        <v>288</v>
      </c>
      <c r="E1868" s="227">
        <v>43191</v>
      </c>
      <c r="F1868" s="156">
        <v>481673.91</v>
      </c>
      <c r="G1868" s="131">
        <f t="shared" si="139"/>
        <v>86315.964671999987</v>
      </c>
      <c r="H1868" s="156">
        <v>1426.37</v>
      </c>
      <c r="I1868" s="156">
        <v>0</v>
      </c>
      <c r="J1868" s="156">
        <v>0</v>
      </c>
      <c r="K1868" s="131">
        <f t="shared" si="140"/>
        <v>1426.37</v>
      </c>
      <c r="L1868" s="134">
        <v>0.1792</v>
      </c>
    </row>
    <row r="1869" spans="3:12">
      <c r="C1869" s="161">
        <f t="shared" si="138"/>
        <v>2018</v>
      </c>
      <c r="D1869" s="35" t="s">
        <v>288</v>
      </c>
      <c r="E1869" s="227">
        <v>43221</v>
      </c>
      <c r="F1869" s="156">
        <v>484393.74</v>
      </c>
      <c r="G1869" s="131">
        <f t="shared" si="139"/>
        <v>86803.358207999991</v>
      </c>
      <c r="H1869" s="156">
        <v>3587.01</v>
      </c>
      <c r="I1869" s="156">
        <v>3821.11</v>
      </c>
      <c r="J1869" s="156">
        <v>0</v>
      </c>
      <c r="K1869" s="131">
        <f t="shared" si="140"/>
        <v>7408.1200000000008</v>
      </c>
      <c r="L1869" s="134">
        <v>0.1792</v>
      </c>
    </row>
    <row r="1870" spans="3:12">
      <c r="C1870" s="161">
        <f t="shared" si="138"/>
        <v>2018</v>
      </c>
      <c r="D1870" s="35" t="s">
        <v>288</v>
      </c>
      <c r="E1870" s="227">
        <v>43252</v>
      </c>
      <c r="F1870" s="156">
        <v>448334.13</v>
      </c>
      <c r="G1870" s="131">
        <f t="shared" si="139"/>
        <v>80341.476095999999</v>
      </c>
      <c r="H1870" s="156">
        <v>1526.89</v>
      </c>
      <c r="I1870" s="156">
        <v>2245.48</v>
      </c>
      <c r="J1870" s="156">
        <v>0</v>
      </c>
      <c r="K1870" s="131">
        <f t="shared" si="140"/>
        <v>3772.37</v>
      </c>
      <c r="L1870" s="134">
        <v>0.1792</v>
      </c>
    </row>
    <row r="1871" spans="3:12">
      <c r="C1871" s="161">
        <f t="shared" si="138"/>
        <v>2018</v>
      </c>
      <c r="D1871" s="35" t="s">
        <v>288</v>
      </c>
      <c r="E1871" s="227">
        <v>43282</v>
      </c>
      <c r="F1871" s="156">
        <v>465045.17</v>
      </c>
      <c r="G1871" s="131">
        <f t="shared" si="139"/>
        <v>83336.094463999994</v>
      </c>
      <c r="H1871" s="156">
        <v>4410.8900000000003</v>
      </c>
      <c r="I1871" s="156">
        <v>1288.97</v>
      </c>
      <c r="J1871" s="156">
        <v>412.5</v>
      </c>
      <c r="K1871" s="131">
        <f t="shared" si="140"/>
        <v>6112.3600000000006</v>
      </c>
      <c r="L1871" s="134">
        <v>0.1792</v>
      </c>
    </row>
    <row r="1872" spans="3:12">
      <c r="C1872" s="161">
        <f t="shared" si="138"/>
        <v>2018</v>
      </c>
      <c r="D1872" s="35" t="s">
        <v>288</v>
      </c>
      <c r="E1872" s="227">
        <v>43313</v>
      </c>
      <c r="F1872" s="156">
        <v>470853.43</v>
      </c>
      <c r="G1872" s="131">
        <f t="shared" si="139"/>
        <v>84376.934655999998</v>
      </c>
      <c r="H1872" s="156">
        <v>7234.84</v>
      </c>
      <c r="I1872" s="156">
        <v>2060.4899999999998</v>
      </c>
      <c r="J1872" s="156">
        <v>0</v>
      </c>
      <c r="K1872" s="131">
        <f t="shared" si="140"/>
        <v>9295.33</v>
      </c>
      <c r="L1872" s="134">
        <v>0.1792</v>
      </c>
    </row>
    <row r="1873" spans="3:12">
      <c r="C1873" s="161">
        <f t="shared" si="138"/>
        <v>2018</v>
      </c>
      <c r="D1873" s="35" t="s">
        <v>288</v>
      </c>
      <c r="E1873" s="227">
        <v>43344</v>
      </c>
      <c r="F1873" s="156">
        <v>478958.93</v>
      </c>
      <c r="G1873" s="131">
        <f t="shared" si="139"/>
        <v>85829.440256000002</v>
      </c>
      <c r="H1873" s="156">
        <v>1295.17</v>
      </c>
      <c r="I1873" s="156">
        <v>0</v>
      </c>
      <c r="J1873" s="156">
        <v>0</v>
      </c>
      <c r="K1873" s="131">
        <f t="shared" si="140"/>
        <v>1295.17</v>
      </c>
      <c r="L1873" s="134">
        <v>0.1792</v>
      </c>
    </row>
    <row r="1874" spans="3:12">
      <c r="C1874" s="161">
        <f t="shared" si="138"/>
        <v>2018</v>
      </c>
      <c r="D1874" s="35" t="s">
        <v>288</v>
      </c>
      <c r="E1874" s="227">
        <v>43374</v>
      </c>
      <c r="F1874" s="156">
        <v>469540.69</v>
      </c>
      <c r="G1874" s="131">
        <f t="shared" si="139"/>
        <v>84141.691647999993</v>
      </c>
      <c r="H1874" s="156">
        <v>1908.4</v>
      </c>
      <c r="I1874" s="156">
        <v>4927.1099999999997</v>
      </c>
      <c r="J1874" s="156">
        <v>472.09</v>
      </c>
      <c r="K1874" s="131">
        <f t="shared" si="140"/>
        <v>7307.6</v>
      </c>
      <c r="L1874" s="134">
        <v>0.1792</v>
      </c>
    </row>
    <row r="1875" spans="3:12">
      <c r="C1875" s="161">
        <f t="shared" si="138"/>
        <v>2018</v>
      </c>
      <c r="D1875" s="35" t="s">
        <v>288</v>
      </c>
      <c r="E1875" s="227">
        <v>43405</v>
      </c>
      <c r="F1875" s="156">
        <v>491783.38852500002</v>
      </c>
      <c r="G1875" s="131">
        <f t="shared" si="139"/>
        <v>88127.583223680005</v>
      </c>
      <c r="H1875" s="156">
        <v>994.79</v>
      </c>
      <c r="I1875" s="156">
        <v>68681.789999999994</v>
      </c>
      <c r="J1875" s="156">
        <v>86445</v>
      </c>
      <c r="K1875" s="131">
        <f t="shared" si="140"/>
        <v>156121.57999999999</v>
      </c>
      <c r="L1875" s="134">
        <v>0.1792</v>
      </c>
    </row>
    <row r="1876" spans="3:12">
      <c r="C1876" s="161">
        <f t="shared" si="138"/>
        <v>2018</v>
      </c>
      <c r="D1876" s="35" t="s">
        <v>288</v>
      </c>
      <c r="E1876" s="227">
        <v>43435</v>
      </c>
      <c r="F1876" s="156">
        <v>523611.77</v>
      </c>
      <c r="G1876" s="131">
        <f t="shared" si="139"/>
        <v>93831.229183999996</v>
      </c>
      <c r="H1876" s="156">
        <v>1668.79</v>
      </c>
      <c r="I1876" s="156">
        <v>0</v>
      </c>
      <c r="J1876" s="156">
        <v>3569</v>
      </c>
      <c r="K1876" s="131">
        <f t="shared" si="140"/>
        <v>5237.79</v>
      </c>
      <c r="L1876" s="134">
        <v>0.1792</v>
      </c>
    </row>
    <row r="1877" spans="3:12">
      <c r="C1877" s="161">
        <f t="shared" si="138"/>
        <v>2019</v>
      </c>
      <c r="D1877" s="35" t="s">
        <v>288</v>
      </c>
      <c r="E1877" s="227">
        <v>43466</v>
      </c>
      <c r="F1877" s="156">
        <v>545069.96</v>
      </c>
      <c r="G1877" s="131">
        <f t="shared" si="139"/>
        <v>97676.536831999998</v>
      </c>
      <c r="H1877" s="156">
        <v>4611.3</v>
      </c>
      <c r="I1877" s="156">
        <v>1890.68</v>
      </c>
      <c r="J1877" s="156">
        <v>0</v>
      </c>
      <c r="K1877" s="131">
        <f t="shared" si="140"/>
        <v>6501.9800000000005</v>
      </c>
      <c r="L1877" s="134">
        <v>0.1792</v>
      </c>
    </row>
    <row r="1878" spans="3:12">
      <c r="C1878" s="161">
        <f t="shared" si="138"/>
        <v>2019</v>
      </c>
      <c r="D1878" s="35" t="s">
        <v>288</v>
      </c>
      <c r="E1878" s="227">
        <v>43497</v>
      </c>
      <c r="F1878" s="156">
        <v>530232.06000000006</v>
      </c>
      <c r="G1878" s="131">
        <f t="shared" si="139"/>
        <v>95017.585152000014</v>
      </c>
      <c r="H1878" s="156">
        <v>2640.97</v>
      </c>
      <c r="I1878" s="156">
        <v>0</v>
      </c>
      <c r="J1878" s="156">
        <v>0</v>
      </c>
      <c r="K1878" s="131">
        <f t="shared" si="140"/>
        <v>2640.97</v>
      </c>
      <c r="L1878" s="134">
        <v>0.1792</v>
      </c>
    </row>
    <row r="1879" spans="3:12">
      <c r="C1879" s="161">
        <f t="shared" si="138"/>
        <v>2019</v>
      </c>
      <c r="D1879" s="35" t="s">
        <v>288</v>
      </c>
      <c r="E1879" s="227">
        <v>43525</v>
      </c>
      <c r="F1879" s="156">
        <v>465322.17</v>
      </c>
      <c r="G1879" s="131">
        <f t="shared" si="139"/>
        <v>83385.732863999991</v>
      </c>
      <c r="H1879" s="156">
        <v>2202.75</v>
      </c>
      <c r="I1879" s="156">
        <v>5248.79</v>
      </c>
      <c r="J1879" s="156">
        <v>0</v>
      </c>
      <c r="K1879" s="131">
        <f t="shared" si="140"/>
        <v>7451.54</v>
      </c>
      <c r="L1879" s="134">
        <v>0.1792</v>
      </c>
    </row>
    <row r="1880" spans="3:12">
      <c r="C1880" s="161">
        <f t="shared" si="138"/>
        <v>2019</v>
      </c>
      <c r="D1880" s="35" t="s">
        <v>288</v>
      </c>
      <c r="E1880" s="227">
        <v>43556</v>
      </c>
      <c r="F1880" s="156">
        <v>509078.29</v>
      </c>
      <c r="G1880" s="131">
        <f t="shared" si="139"/>
        <v>91226.829568000001</v>
      </c>
      <c r="H1880" s="156">
        <v>854.96</v>
      </c>
      <c r="I1880" s="156">
        <v>5642.84</v>
      </c>
      <c r="J1880" s="156">
        <v>0</v>
      </c>
      <c r="K1880" s="131">
        <f t="shared" si="140"/>
        <v>6497.8</v>
      </c>
      <c r="L1880" s="134">
        <v>0.1792</v>
      </c>
    </row>
    <row r="1881" spans="3:12">
      <c r="C1881" s="161">
        <f t="shared" si="138"/>
        <v>2019</v>
      </c>
      <c r="D1881" s="35" t="s">
        <v>288</v>
      </c>
      <c r="E1881" s="227">
        <v>43586</v>
      </c>
      <c r="F1881" s="156">
        <v>479880.86</v>
      </c>
      <c r="G1881" s="131">
        <f t="shared" si="139"/>
        <v>85994.650112000003</v>
      </c>
      <c r="H1881" s="156">
        <v>7104.78</v>
      </c>
      <c r="I1881" s="156">
        <v>2226.88</v>
      </c>
      <c r="J1881" s="156">
        <v>9331.66</v>
      </c>
      <c r="K1881" s="131">
        <f t="shared" si="140"/>
        <v>18663.32</v>
      </c>
      <c r="L1881" s="134">
        <v>0.1792</v>
      </c>
    </row>
    <row r="1882" spans="3:12">
      <c r="C1882" s="161">
        <f t="shared" si="138"/>
        <v>2019</v>
      </c>
      <c r="D1882" s="35" t="s">
        <v>288</v>
      </c>
      <c r="E1882" s="227">
        <v>43617</v>
      </c>
      <c r="F1882" s="156">
        <v>472612.66</v>
      </c>
      <c r="G1882" s="131">
        <f t="shared" si="139"/>
        <v>84692.188671999989</v>
      </c>
      <c r="H1882" s="156">
        <v>5508.97</v>
      </c>
      <c r="I1882" s="156">
        <v>0</v>
      </c>
      <c r="J1882" s="156">
        <v>0</v>
      </c>
      <c r="K1882" s="131">
        <f t="shared" si="140"/>
        <v>5508.97</v>
      </c>
      <c r="L1882" s="134">
        <v>0.1792</v>
      </c>
    </row>
    <row r="1883" spans="3:12">
      <c r="C1883" s="161">
        <f t="shared" si="138"/>
        <v>2019</v>
      </c>
      <c r="D1883" s="35" t="s">
        <v>288</v>
      </c>
      <c r="E1883" s="227">
        <v>43647</v>
      </c>
      <c r="F1883" s="156">
        <v>491649.01</v>
      </c>
      <c r="G1883" s="131">
        <f t="shared" si="139"/>
        <v>88103.502592000004</v>
      </c>
      <c r="H1883" s="156">
        <v>2234.59</v>
      </c>
      <c r="I1883" s="156">
        <v>3874.2</v>
      </c>
      <c r="J1883" s="156">
        <v>908.15</v>
      </c>
      <c r="K1883" s="131">
        <f t="shared" si="140"/>
        <v>7016.94</v>
      </c>
      <c r="L1883" s="134">
        <v>0.1792</v>
      </c>
    </row>
    <row r="1884" spans="3:12">
      <c r="C1884" s="161">
        <f t="shared" si="138"/>
        <v>2019</v>
      </c>
      <c r="D1884" s="35" t="s">
        <v>288</v>
      </c>
      <c r="E1884" s="227">
        <v>43678</v>
      </c>
      <c r="F1884" s="156">
        <v>524642.41</v>
      </c>
      <c r="G1884" s="131">
        <f t="shared" si="139"/>
        <v>94015.919871999999</v>
      </c>
      <c r="H1884" s="156">
        <v>1817.02</v>
      </c>
      <c r="I1884" s="156">
        <v>0</v>
      </c>
      <c r="J1884" s="156">
        <v>0</v>
      </c>
      <c r="K1884" s="131">
        <f t="shared" si="140"/>
        <v>1817.02</v>
      </c>
      <c r="L1884" s="134">
        <v>0.1792</v>
      </c>
    </row>
    <row r="1885" spans="3:12">
      <c r="C1885" s="161">
        <f t="shared" si="138"/>
        <v>2019</v>
      </c>
      <c r="D1885" s="35" t="s">
        <v>288</v>
      </c>
      <c r="E1885" s="227">
        <v>43709</v>
      </c>
      <c r="F1885" s="156">
        <v>550340.49</v>
      </c>
      <c r="G1885" s="131">
        <f t="shared" si="139"/>
        <v>98621.015807999996</v>
      </c>
      <c r="H1885" s="156">
        <v>2059.11</v>
      </c>
      <c r="I1885" s="156">
        <v>4915.01</v>
      </c>
      <c r="J1885" s="156">
        <v>0</v>
      </c>
      <c r="K1885" s="131">
        <f t="shared" si="140"/>
        <v>6974.1200000000008</v>
      </c>
      <c r="L1885" s="134">
        <v>0.1792</v>
      </c>
    </row>
    <row r="1886" spans="3:12">
      <c r="C1886" s="161">
        <f t="shared" si="138"/>
        <v>2019</v>
      </c>
      <c r="D1886" s="35" t="s">
        <v>288</v>
      </c>
      <c r="E1886" s="227">
        <v>43739</v>
      </c>
      <c r="F1886" s="156">
        <v>549729.30000000005</v>
      </c>
      <c r="G1886" s="131">
        <f t="shared" si="139"/>
        <v>98511.490560000006</v>
      </c>
      <c r="H1886" s="156">
        <v>13192.06</v>
      </c>
      <c r="I1886" s="156">
        <v>4915.01</v>
      </c>
      <c r="J1886" s="156">
        <v>0</v>
      </c>
      <c r="K1886" s="131">
        <f t="shared" si="140"/>
        <v>18107.07</v>
      </c>
      <c r="L1886" s="134">
        <v>0.1792</v>
      </c>
    </row>
    <row r="1887" spans="3:12">
      <c r="C1887" s="161">
        <f t="shared" si="138"/>
        <v>2019</v>
      </c>
      <c r="D1887" s="35" t="s">
        <v>288</v>
      </c>
      <c r="E1887" s="227">
        <v>43770</v>
      </c>
      <c r="F1887" s="156">
        <v>624448.25</v>
      </c>
      <c r="G1887" s="131">
        <f t="shared" si="139"/>
        <v>111901.12639999999</v>
      </c>
      <c r="H1887" s="156">
        <v>1925.56</v>
      </c>
      <c r="I1887" s="156">
        <v>41384.559999999998</v>
      </c>
      <c r="J1887" s="156">
        <v>0</v>
      </c>
      <c r="K1887" s="131">
        <f t="shared" si="140"/>
        <v>43310.119999999995</v>
      </c>
      <c r="L1887" s="134">
        <v>0.1792</v>
      </c>
    </row>
    <row r="1888" spans="3:12">
      <c r="C1888" s="161">
        <f t="shared" si="138"/>
        <v>2019</v>
      </c>
      <c r="D1888" s="35" t="s">
        <v>288</v>
      </c>
      <c r="E1888" s="227">
        <v>43800</v>
      </c>
      <c r="F1888" s="156">
        <v>566369.93000000005</v>
      </c>
      <c r="G1888" s="131">
        <f t="shared" si="139"/>
        <v>101493.491456</v>
      </c>
      <c r="H1888" s="156">
        <v>8879.57</v>
      </c>
      <c r="I1888" s="156">
        <v>271.19</v>
      </c>
      <c r="J1888" s="156">
        <v>0</v>
      </c>
      <c r="K1888" s="131">
        <f t="shared" si="140"/>
        <v>9150.76</v>
      </c>
      <c r="L1888" s="134">
        <v>0.1792</v>
      </c>
    </row>
    <row r="1889" spans="3:12">
      <c r="C1889" s="161">
        <f t="shared" si="138"/>
        <v>2020</v>
      </c>
      <c r="D1889" s="35" t="s">
        <v>288</v>
      </c>
      <c r="E1889" s="227">
        <v>43831</v>
      </c>
      <c r="F1889" s="156">
        <v>585640.73</v>
      </c>
      <c r="G1889" s="131">
        <f t="shared" si="139"/>
        <v>104946.818816</v>
      </c>
      <c r="H1889" s="156">
        <v>20213.82</v>
      </c>
      <c r="I1889" s="156">
        <v>3265.64</v>
      </c>
      <c r="J1889" s="156">
        <v>0</v>
      </c>
      <c r="K1889" s="131">
        <f t="shared" si="140"/>
        <v>23479.46</v>
      </c>
      <c r="L1889" s="134">
        <v>0.1792</v>
      </c>
    </row>
    <row r="1890" spans="3:12">
      <c r="C1890" s="161">
        <f t="shared" si="138"/>
        <v>2020</v>
      </c>
      <c r="D1890" s="35" t="s">
        <v>288</v>
      </c>
      <c r="E1890" s="227">
        <v>43862</v>
      </c>
      <c r="F1890" s="156">
        <v>544695.68000000005</v>
      </c>
      <c r="G1890" s="131">
        <f t="shared" si="139"/>
        <v>97609.46585600001</v>
      </c>
      <c r="H1890" s="156">
        <v>22999.16</v>
      </c>
      <c r="I1890" s="156">
        <v>0</v>
      </c>
      <c r="J1890" s="156">
        <v>0</v>
      </c>
      <c r="K1890" s="131">
        <f t="shared" si="140"/>
        <v>22999.16</v>
      </c>
      <c r="L1890" s="134">
        <v>0.1792</v>
      </c>
    </row>
    <row r="1891" spans="3:12">
      <c r="C1891" s="161">
        <f t="shared" si="138"/>
        <v>2020</v>
      </c>
      <c r="D1891" s="35" t="s">
        <v>288</v>
      </c>
      <c r="E1891" s="227">
        <v>43891</v>
      </c>
      <c r="F1891" s="156">
        <v>551517.77917500003</v>
      </c>
      <c r="G1891" s="131">
        <f t="shared" si="139"/>
        <v>98831.986028159998</v>
      </c>
      <c r="H1891" s="156">
        <v>8841.64</v>
      </c>
      <c r="I1891" s="156">
        <v>0</v>
      </c>
      <c r="J1891" s="156">
        <v>0</v>
      </c>
      <c r="K1891" s="131">
        <f t="shared" si="140"/>
        <v>8841.64</v>
      </c>
      <c r="L1891" s="134">
        <v>0.1792</v>
      </c>
    </row>
    <row r="1892" spans="3:12">
      <c r="C1892" s="161">
        <f t="shared" si="138"/>
        <v>2020</v>
      </c>
      <c r="D1892" s="35" t="s">
        <v>288</v>
      </c>
      <c r="E1892" s="227">
        <v>43922</v>
      </c>
      <c r="F1892" s="156">
        <v>580540.76355000003</v>
      </c>
      <c r="G1892" s="131">
        <f t="shared" si="139"/>
        <v>104032.90482816001</v>
      </c>
      <c r="H1892" s="156">
        <v>3907.3</v>
      </c>
      <c r="I1892" s="156">
        <v>0</v>
      </c>
      <c r="J1892" s="156">
        <v>0</v>
      </c>
      <c r="K1892" s="131">
        <f t="shared" si="140"/>
        <v>3907.3</v>
      </c>
      <c r="L1892" s="134">
        <v>0.1792</v>
      </c>
    </row>
    <row r="1893" spans="3:12">
      <c r="C1893" s="161">
        <f t="shared" si="138"/>
        <v>2020</v>
      </c>
      <c r="D1893" s="35" t="s">
        <v>288</v>
      </c>
      <c r="E1893" s="227">
        <v>43952</v>
      </c>
      <c r="F1893" s="156">
        <v>555664.46</v>
      </c>
      <c r="G1893" s="131">
        <f t="shared" si="139"/>
        <v>99575.071231999988</v>
      </c>
      <c r="H1893" s="156">
        <v>3711.63</v>
      </c>
      <c r="I1893" s="156">
        <v>2628.97</v>
      </c>
      <c r="J1893" s="156">
        <v>0</v>
      </c>
      <c r="K1893" s="131">
        <f t="shared" si="140"/>
        <v>6340.6</v>
      </c>
      <c r="L1893" s="134">
        <v>0.1792</v>
      </c>
    </row>
    <row r="1894" spans="3:12">
      <c r="C1894" s="161">
        <f t="shared" si="138"/>
        <v>2020</v>
      </c>
      <c r="D1894" s="35" t="s">
        <v>288</v>
      </c>
      <c r="E1894" s="227">
        <v>43983</v>
      </c>
      <c r="F1894" s="156">
        <v>520595.17</v>
      </c>
      <c r="G1894" s="131">
        <f t="shared" si="139"/>
        <v>93290.654463999992</v>
      </c>
      <c r="H1894" s="156">
        <v>154255.32</v>
      </c>
      <c r="I1894" s="156">
        <v>4319.6099999999997</v>
      </c>
      <c r="J1894" s="156">
        <v>0</v>
      </c>
      <c r="K1894" s="131">
        <f t="shared" si="140"/>
        <v>158574.93</v>
      </c>
      <c r="L1894" s="134">
        <v>0.1792</v>
      </c>
    </row>
    <row r="1895" spans="3:12">
      <c r="C1895" s="161">
        <f t="shared" si="138"/>
        <v>2020</v>
      </c>
      <c r="D1895" s="35" t="s">
        <v>288</v>
      </c>
      <c r="E1895" s="227">
        <v>44013</v>
      </c>
      <c r="F1895" s="156">
        <v>516326.64</v>
      </c>
      <c r="G1895" s="131">
        <f t="shared" si="139"/>
        <v>92525.733888000002</v>
      </c>
      <c r="H1895" s="156">
        <v>156747.14000000001</v>
      </c>
      <c r="I1895" s="156">
        <v>1510.78</v>
      </c>
      <c r="J1895" s="156">
        <v>0</v>
      </c>
      <c r="K1895" s="131">
        <f t="shared" si="140"/>
        <v>158257.92000000001</v>
      </c>
      <c r="L1895" s="134">
        <v>0.1792</v>
      </c>
    </row>
    <row r="1896" spans="3:12">
      <c r="C1896" s="161">
        <f t="shared" si="138"/>
        <v>2020</v>
      </c>
      <c r="D1896" s="35" t="s">
        <v>288</v>
      </c>
      <c r="E1896" s="227">
        <v>44044</v>
      </c>
      <c r="F1896" s="156">
        <v>541668.74</v>
      </c>
      <c r="G1896" s="131">
        <f t="shared" si="139"/>
        <v>97067.038207999998</v>
      </c>
      <c r="H1896" s="156">
        <v>4535.1099999999997</v>
      </c>
      <c r="I1896" s="156">
        <v>5865.38</v>
      </c>
      <c r="J1896" s="156">
        <v>0</v>
      </c>
      <c r="K1896" s="131">
        <f t="shared" si="140"/>
        <v>10400.49</v>
      </c>
      <c r="L1896" s="134">
        <v>0.1792</v>
      </c>
    </row>
    <row r="1897" spans="3:12">
      <c r="C1897" s="161">
        <f t="shared" si="138"/>
        <v>2020</v>
      </c>
      <c r="D1897" s="35" t="s">
        <v>288</v>
      </c>
      <c r="E1897" s="227">
        <v>44075</v>
      </c>
      <c r="F1897" s="156">
        <v>586249.27</v>
      </c>
      <c r="G1897" s="131">
        <f t="shared" si="139"/>
        <v>105055.869184</v>
      </c>
      <c r="H1897" s="156">
        <v>7727.77</v>
      </c>
      <c r="I1897" s="156">
        <v>4866.2299999999996</v>
      </c>
      <c r="J1897" s="156">
        <v>0</v>
      </c>
      <c r="K1897" s="131">
        <f t="shared" si="140"/>
        <v>12594</v>
      </c>
      <c r="L1897" s="134">
        <v>0.1792</v>
      </c>
    </row>
    <row r="1898" spans="3:12">
      <c r="C1898" s="161">
        <f t="shared" si="138"/>
        <v>2020</v>
      </c>
      <c r="D1898" s="35" t="s">
        <v>288</v>
      </c>
      <c r="E1898" s="227">
        <v>44105</v>
      </c>
      <c r="F1898" s="156">
        <v>642558.73</v>
      </c>
      <c r="G1898" s="131">
        <f t="shared" si="139"/>
        <v>115146.524416</v>
      </c>
      <c r="H1898" s="156">
        <v>10234.450000000001</v>
      </c>
      <c r="I1898" s="156">
        <v>3597.69</v>
      </c>
      <c r="J1898" s="156">
        <v>0</v>
      </c>
      <c r="K1898" s="131">
        <f t="shared" si="140"/>
        <v>13832.140000000001</v>
      </c>
      <c r="L1898" s="134">
        <v>0.1792</v>
      </c>
    </row>
    <row r="1899" spans="3:12">
      <c r="C1899" s="161">
        <f t="shared" si="138"/>
        <v>2020</v>
      </c>
      <c r="D1899" s="35" t="s">
        <v>288</v>
      </c>
      <c r="E1899" s="227">
        <v>44136</v>
      </c>
      <c r="F1899" s="156">
        <v>591386.74</v>
      </c>
      <c r="G1899" s="131">
        <f t="shared" si="139"/>
        <v>105976.50380799999</v>
      </c>
      <c r="H1899" s="156">
        <v>3702.39</v>
      </c>
      <c r="I1899" s="156">
        <v>1092.98</v>
      </c>
      <c r="J1899" s="156">
        <v>0</v>
      </c>
      <c r="K1899" s="131">
        <f t="shared" si="140"/>
        <v>4795.37</v>
      </c>
      <c r="L1899" s="134">
        <v>0.1792</v>
      </c>
    </row>
    <row r="1900" spans="3:12">
      <c r="C1900" s="161">
        <f t="shared" si="138"/>
        <v>2020</v>
      </c>
      <c r="D1900" s="35" t="s">
        <v>288</v>
      </c>
      <c r="E1900" s="227">
        <v>44166</v>
      </c>
      <c r="F1900" s="156">
        <v>598724.68000000005</v>
      </c>
      <c r="G1900" s="131">
        <f t="shared" si="139"/>
        <v>107291.462656</v>
      </c>
      <c r="H1900" s="156">
        <v>1217.98</v>
      </c>
      <c r="I1900" s="156">
        <v>8538.18</v>
      </c>
      <c r="J1900" s="156">
        <v>0</v>
      </c>
      <c r="K1900" s="131">
        <f t="shared" si="140"/>
        <v>9756.16</v>
      </c>
      <c r="L1900" s="134">
        <v>0.1792</v>
      </c>
    </row>
    <row r="1901" spans="3:12">
      <c r="C1901" s="161">
        <f t="shared" si="138"/>
        <v>2021</v>
      </c>
      <c r="D1901" s="35" t="s">
        <v>288</v>
      </c>
      <c r="E1901" s="227">
        <v>44197</v>
      </c>
      <c r="F1901" s="156">
        <v>639157.4</v>
      </c>
      <c r="G1901" s="131">
        <f t="shared" si="139"/>
        <v>114537.00608000001</v>
      </c>
      <c r="H1901" s="156">
        <v>1395.82</v>
      </c>
      <c r="I1901" s="156">
        <v>1329.28</v>
      </c>
      <c r="J1901" s="156">
        <v>0</v>
      </c>
      <c r="K1901" s="131">
        <f t="shared" si="140"/>
        <v>2725.1</v>
      </c>
      <c r="L1901" s="134">
        <v>0.1792</v>
      </c>
    </row>
    <row r="1902" spans="3:12">
      <c r="C1902" s="161">
        <f t="shared" si="138"/>
        <v>2021</v>
      </c>
      <c r="D1902" s="35" t="s">
        <v>288</v>
      </c>
      <c r="E1902" s="227">
        <v>44229</v>
      </c>
      <c r="F1902" s="156">
        <v>552460.84</v>
      </c>
      <c r="G1902" s="131">
        <f t="shared" si="139"/>
        <v>99000.982527999993</v>
      </c>
      <c r="H1902" s="156">
        <v>11271.07</v>
      </c>
      <c r="I1902" s="156">
        <v>727.86</v>
      </c>
      <c r="J1902" s="156">
        <v>0</v>
      </c>
      <c r="K1902" s="131">
        <f t="shared" si="140"/>
        <v>11998.93</v>
      </c>
      <c r="L1902" s="134">
        <v>0.1792</v>
      </c>
    </row>
    <row r="1903" spans="3:12">
      <c r="C1903" s="161">
        <f t="shared" si="138"/>
        <v>2021</v>
      </c>
      <c r="D1903" s="35" t="s">
        <v>288</v>
      </c>
      <c r="E1903" s="227">
        <v>44258</v>
      </c>
      <c r="F1903" s="156">
        <v>554390.01</v>
      </c>
      <c r="G1903" s="131">
        <f t="shared" si="139"/>
        <v>99346.689792000005</v>
      </c>
      <c r="H1903" s="156">
        <v>10085.09</v>
      </c>
      <c r="I1903" s="156">
        <v>466.79</v>
      </c>
      <c r="J1903" s="156">
        <v>0</v>
      </c>
      <c r="K1903" s="131">
        <f t="shared" si="140"/>
        <v>10551.880000000001</v>
      </c>
      <c r="L1903" s="134">
        <v>0.1792</v>
      </c>
    </row>
    <row r="1904" spans="3:12">
      <c r="C1904" s="161">
        <f t="shared" si="138"/>
        <v>2021</v>
      </c>
      <c r="D1904" s="35" t="s">
        <v>288</v>
      </c>
      <c r="E1904" s="227">
        <v>44290</v>
      </c>
      <c r="F1904" s="156">
        <v>625703.88</v>
      </c>
      <c r="G1904" s="131">
        <f t="shared" si="139"/>
        <v>112126.13529599999</v>
      </c>
      <c r="H1904" s="156">
        <v>45033.57</v>
      </c>
      <c r="I1904" s="156">
        <v>2510.7199999999998</v>
      </c>
      <c r="J1904" s="156">
        <v>0</v>
      </c>
      <c r="K1904" s="131">
        <f t="shared" si="140"/>
        <v>47544.29</v>
      </c>
      <c r="L1904" s="134">
        <v>0.1792</v>
      </c>
    </row>
    <row r="1905" spans="3:12">
      <c r="C1905" s="161">
        <f t="shared" si="138"/>
        <v>2021</v>
      </c>
      <c r="D1905" s="35" t="s">
        <v>288</v>
      </c>
      <c r="E1905" s="227">
        <v>44321</v>
      </c>
      <c r="F1905" s="156">
        <v>576061.86</v>
      </c>
      <c r="G1905" s="131">
        <f t="shared" si="139"/>
        <v>103230.28531199999</v>
      </c>
      <c r="H1905" s="156">
        <v>13462.82</v>
      </c>
      <c r="I1905" s="156">
        <v>307.67</v>
      </c>
      <c r="J1905" s="156">
        <v>0</v>
      </c>
      <c r="K1905" s="131">
        <f t="shared" si="140"/>
        <v>13770.49</v>
      </c>
      <c r="L1905" s="134">
        <v>0.1792</v>
      </c>
    </row>
    <row r="1906" spans="3:12">
      <c r="C1906" s="161">
        <f t="shared" si="138"/>
        <v>2021</v>
      </c>
      <c r="D1906" s="35" t="s">
        <v>288</v>
      </c>
      <c r="E1906" s="227">
        <v>44353</v>
      </c>
      <c r="F1906" s="156">
        <v>550629.52</v>
      </c>
      <c r="G1906" s="131">
        <f t="shared" si="139"/>
        <v>98672.809984000007</v>
      </c>
      <c r="H1906" s="156">
        <v>3927.42</v>
      </c>
      <c r="I1906" s="156">
        <v>0</v>
      </c>
      <c r="J1906" s="156">
        <v>0</v>
      </c>
      <c r="K1906" s="131">
        <f t="shared" si="140"/>
        <v>3927.42</v>
      </c>
      <c r="L1906" s="134">
        <v>0.1792</v>
      </c>
    </row>
    <row r="1907" spans="3:12">
      <c r="C1907" s="161">
        <f t="shared" si="138"/>
        <v>2015</v>
      </c>
      <c r="D1907" s="35" t="s">
        <v>289</v>
      </c>
      <c r="E1907" s="227">
        <v>42309</v>
      </c>
      <c r="F1907" s="156">
        <v>47770.46</v>
      </c>
      <c r="G1907" s="131">
        <f t="shared" si="139"/>
        <v>8560.4664319999993</v>
      </c>
      <c r="H1907" s="156">
        <v>167</v>
      </c>
      <c r="I1907" s="156">
        <v>0</v>
      </c>
      <c r="J1907" s="156">
        <v>0</v>
      </c>
      <c r="K1907" s="131">
        <f t="shared" si="140"/>
        <v>167</v>
      </c>
      <c r="L1907" s="134">
        <v>0.1792</v>
      </c>
    </row>
    <row r="1908" spans="3:12">
      <c r="C1908" s="161">
        <f t="shared" si="138"/>
        <v>2015</v>
      </c>
      <c r="D1908" s="35" t="s">
        <v>289</v>
      </c>
      <c r="E1908" s="227">
        <v>42339</v>
      </c>
      <c r="F1908" s="156">
        <v>47292.61</v>
      </c>
      <c r="G1908" s="131">
        <f t="shared" si="139"/>
        <v>8474.8357120000001</v>
      </c>
      <c r="H1908" s="156">
        <v>109.98</v>
      </c>
      <c r="I1908" s="156">
        <v>0</v>
      </c>
      <c r="J1908" s="156">
        <v>0</v>
      </c>
      <c r="K1908" s="131">
        <f t="shared" si="140"/>
        <v>109.98</v>
      </c>
      <c r="L1908" s="134">
        <v>0.1792</v>
      </c>
    </row>
    <row r="1909" spans="3:12">
      <c r="C1909" s="161">
        <f t="shared" si="138"/>
        <v>2016</v>
      </c>
      <c r="D1909" s="35" t="s">
        <v>289</v>
      </c>
      <c r="E1909" s="227">
        <v>42370</v>
      </c>
      <c r="F1909" s="156">
        <v>44909.82</v>
      </c>
      <c r="G1909" s="131">
        <f t="shared" si="139"/>
        <v>8047.8397439999999</v>
      </c>
      <c r="H1909" s="156">
        <v>480.07</v>
      </c>
      <c r="I1909" s="156">
        <v>0</v>
      </c>
      <c r="J1909" s="156">
        <v>0</v>
      </c>
      <c r="K1909" s="131">
        <f t="shared" si="140"/>
        <v>480.07</v>
      </c>
      <c r="L1909" s="134">
        <v>0.1792</v>
      </c>
    </row>
    <row r="1910" spans="3:12">
      <c r="C1910" s="161">
        <f t="shared" si="138"/>
        <v>2016</v>
      </c>
      <c r="D1910" s="35" t="s">
        <v>289</v>
      </c>
      <c r="E1910" s="227">
        <v>42401</v>
      </c>
      <c r="F1910" s="156">
        <v>45524.7</v>
      </c>
      <c r="G1910" s="131">
        <f t="shared" si="139"/>
        <v>8158.0262399999992</v>
      </c>
      <c r="H1910" s="156">
        <v>63.58</v>
      </c>
      <c r="I1910" s="156">
        <v>0</v>
      </c>
      <c r="J1910" s="156">
        <v>0</v>
      </c>
      <c r="K1910" s="131">
        <f t="shared" si="140"/>
        <v>63.58</v>
      </c>
      <c r="L1910" s="134">
        <v>0.1792</v>
      </c>
    </row>
    <row r="1911" spans="3:12">
      <c r="C1911" s="161">
        <f t="shared" si="138"/>
        <v>2016</v>
      </c>
      <c r="D1911" s="35" t="s">
        <v>289</v>
      </c>
      <c r="E1911" s="227">
        <v>42430</v>
      </c>
      <c r="F1911" s="156">
        <v>45793.98</v>
      </c>
      <c r="G1911" s="131">
        <f t="shared" si="139"/>
        <v>8206.2812160000012</v>
      </c>
      <c r="H1911" s="156">
        <v>3152.33</v>
      </c>
      <c r="I1911" s="156">
        <v>0</v>
      </c>
      <c r="J1911" s="156">
        <v>0</v>
      </c>
      <c r="K1911" s="131">
        <f t="shared" si="140"/>
        <v>3152.33</v>
      </c>
      <c r="L1911" s="134">
        <v>0.1792</v>
      </c>
    </row>
    <row r="1912" spans="3:12">
      <c r="C1912" s="161">
        <f t="shared" si="138"/>
        <v>2016</v>
      </c>
      <c r="D1912" s="35" t="s">
        <v>289</v>
      </c>
      <c r="E1912" s="227">
        <v>42461</v>
      </c>
      <c r="F1912" s="156">
        <v>46514.16</v>
      </c>
      <c r="G1912" s="131">
        <f t="shared" si="139"/>
        <v>8335.3374720000011</v>
      </c>
      <c r="H1912" s="156">
        <v>701.85</v>
      </c>
      <c r="I1912" s="156">
        <v>0</v>
      </c>
      <c r="J1912" s="156">
        <v>0</v>
      </c>
      <c r="K1912" s="131">
        <f t="shared" si="140"/>
        <v>701.85</v>
      </c>
      <c r="L1912" s="134">
        <v>0.1792</v>
      </c>
    </row>
    <row r="1913" spans="3:12">
      <c r="C1913" s="161">
        <f t="shared" si="138"/>
        <v>2016</v>
      </c>
      <c r="D1913" s="35" t="s">
        <v>289</v>
      </c>
      <c r="E1913" s="227">
        <v>42491</v>
      </c>
      <c r="F1913" s="156">
        <v>45275</v>
      </c>
      <c r="G1913" s="131">
        <f t="shared" si="139"/>
        <v>8113.28</v>
      </c>
      <c r="H1913" s="156">
        <v>114.07</v>
      </c>
      <c r="I1913" s="156">
        <v>0</v>
      </c>
      <c r="J1913" s="156">
        <v>269</v>
      </c>
      <c r="K1913" s="131">
        <f t="shared" si="140"/>
        <v>383.07</v>
      </c>
      <c r="L1913" s="134">
        <v>0.1792</v>
      </c>
    </row>
    <row r="1914" spans="3:12">
      <c r="C1914" s="161">
        <f t="shared" si="138"/>
        <v>2016</v>
      </c>
      <c r="D1914" s="35" t="s">
        <v>289</v>
      </c>
      <c r="E1914" s="227">
        <v>42522</v>
      </c>
      <c r="F1914" s="156">
        <v>44353.43</v>
      </c>
      <c r="G1914" s="131">
        <f t="shared" si="139"/>
        <v>7948.1346560000002</v>
      </c>
      <c r="H1914" s="156">
        <v>108.02</v>
      </c>
      <c r="I1914" s="156">
        <v>0</v>
      </c>
      <c r="J1914" s="156">
        <v>0</v>
      </c>
      <c r="K1914" s="131">
        <f t="shared" si="140"/>
        <v>108.02</v>
      </c>
      <c r="L1914" s="134">
        <v>0.1792</v>
      </c>
    </row>
    <row r="1915" spans="3:12">
      <c r="C1915" s="161">
        <f t="shared" si="138"/>
        <v>2016</v>
      </c>
      <c r="D1915" s="35" t="s">
        <v>289</v>
      </c>
      <c r="E1915" s="227">
        <v>42552</v>
      </c>
      <c r="F1915" s="156">
        <v>53538.720000000001</v>
      </c>
      <c r="G1915" s="131">
        <f t="shared" si="139"/>
        <v>9594.1386239999993</v>
      </c>
      <c r="H1915" s="156">
        <v>144.12</v>
      </c>
      <c r="I1915" s="156">
        <v>72198.61</v>
      </c>
      <c r="J1915" s="156">
        <v>0</v>
      </c>
      <c r="K1915" s="131">
        <f t="shared" si="140"/>
        <v>72342.73</v>
      </c>
      <c r="L1915" s="134">
        <v>0.1792</v>
      </c>
    </row>
    <row r="1916" spans="3:12">
      <c r="C1916" s="161">
        <f t="shared" si="138"/>
        <v>2016</v>
      </c>
      <c r="D1916" s="35" t="s">
        <v>289</v>
      </c>
      <c r="E1916" s="227">
        <v>42583</v>
      </c>
      <c r="F1916" s="156">
        <v>55969.73</v>
      </c>
      <c r="G1916" s="131">
        <f t="shared" si="139"/>
        <v>10029.775616000001</v>
      </c>
      <c r="H1916" s="156">
        <v>136.91</v>
      </c>
      <c r="I1916" s="156">
        <v>0</v>
      </c>
      <c r="J1916" s="156">
        <v>7695.71</v>
      </c>
      <c r="K1916" s="131">
        <f t="shared" si="140"/>
        <v>7832.62</v>
      </c>
      <c r="L1916" s="134">
        <v>0.1792</v>
      </c>
    </row>
    <row r="1917" spans="3:12">
      <c r="C1917" s="161">
        <f t="shared" si="138"/>
        <v>2016</v>
      </c>
      <c r="D1917" s="35" t="s">
        <v>289</v>
      </c>
      <c r="E1917" s="227">
        <v>42614</v>
      </c>
      <c r="F1917" s="156">
        <v>51406.239999999998</v>
      </c>
      <c r="G1917" s="131">
        <f t="shared" si="139"/>
        <v>9211.9982079999991</v>
      </c>
      <c r="H1917" s="156">
        <v>1804.02</v>
      </c>
      <c r="I1917" s="156">
        <v>74275.600000000006</v>
      </c>
      <c r="J1917" s="156">
        <v>0</v>
      </c>
      <c r="K1917" s="131">
        <f t="shared" si="140"/>
        <v>76079.62000000001</v>
      </c>
      <c r="L1917" s="134">
        <v>0.1792</v>
      </c>
    </row>
    <row r="1918" spans="3:12">
      <c r="C1918" s="161">
        <f t="shared" si="138"/>
        <v>2016</v>
      </c>
      <c r="D1918" s="35" t="s">
        <v>289</v>
      </c>
      <c r="E1918" s="227">
        <v>42644</v>
      </c>
      <c r="F1918" s="156">
        <v>58446.96</v>
      </c>
      <c r="G1918" s="131">
        <f t="shared" si="139"/>
        <v>10473.695232</v>
      </c>
      <c r="H1918" s="156">
        <v>628.94000000000005</v>
      </c>
      <c r="I1918" s="156">
        <v>0</v>
      </c>
      <c r="J1918" s="156">
        <v>0</v>
      </c>
      <c r="K1918" s="131">
        <f t="shared" si="140"/>
        <v>628.94000000000005</v>
      </c>
      <c r="L1918" s="134">
        <v>0.1792</v>
      </c>
    </row>
    <row r="1919" spans="3:12">
      <c r="C1919" s="161">
        <f t="shared" si="138"/>
        <v>2016</v>
      </c>
      <c r="D1919" s="35" t="s">
        <v>289</v>
      </c>
      <c r="E1919" s="227">
        <v>42675</v>
      </c>
      <c r="F1919" s="156">
        <v>54517.55</v>
      </c>
      <c r="G1919" s="131">
        <f t="shared" si="139"/>
        <v>9769.5449600000011</v>
      </c>
      <c r="H1919" s="156">
        <v>3734.44</v>
      </c>
      <c r="I1919" s="156">
        <v>0</v>
      </c>
      <c r="J1919" s="156">
        <v>0</v>
      </c>
      <c r="K1919" s="131">
        <f t="shared" si="140"/>
        <v>3734.44</v>
      </c>
      <c r="L1919" s="134">
        <v>0.1792</v>
      </c>
    </row>
    <row r="1920" spans="3:12">
      <c r="C1920" s="161">
        <f t="shared" si="138"/>
        <v>2016</v>
      </c>
      <c r="D1920" s="35" t="s">
        <v>289</v>
      </c>
      <c r="E1920" s="227">
        <v>42705</v>
      </c>
      <c r="F1920" s="156">
        <v>50483.39</v>
      </c>
      <c r="G1920" s="131">
        <f t="shared" si="139"/>
        <v>9046.6234879999993</v>
      </c>
      <c r="H1920" s="156">
        <v>44.86</v>
      </c>
      <c r="I1920" s="156">
        <v>0</v>
      </c>
      <c r="J1920" s="156">
        <v>0</v>
      </c>
      <c r="K1920" s="131">
        <f t="shared" si="140"/>
        <v>44.86</v>
      </c>
      <c r="L1920" s="134">
        <v>0.1792</v>
      </c>
    </row>
    <row r="1921" spans="3:12">
      <c r="C1921" s="161">
        <f t="shared" si="138"/>
        <v>2017</v>
      </c>
      <c r="D1921" s="35" t="s">
        <v>289</v>
      </c>
      <c r="E1921" s="227">
        <v>42736</v>
      </c>
      <c r="F1921" s="156">
        <v>52504.25</v>
      </c>
      <c r="G1921" s="131">
        <f t="shared" si="139"/>
        <v>9408.7615999999998</v>
      </c>
      <c r="H1921" s="156">
        <v>0</v>
      </c>
      <c r="I1921" s="156">
        <v>0</v>
      </c>
      <c r="J1921" s="156">
        <v>0</v>
      </c>
      <c r="K1921" s="131">
        <f t="shared" si="140"/>
        <v>0</v>
      </c>
      <c r="L1921" s="134">
        <v>0.1792</v>
      </c>
    </row>
    <row r="1922" spans="3:12">
      <c r="C1922" s="161">
        <f t="shared" si="138"/>
        <v>2017</v>
      </c>
      <c r="D1922" s="35" t="s">
        <v>289</v>
      </c>
      <c r="E1922" s="227">
        <v>42767</v>
      </c>
      <c r="F1922" s="156">
        <v>51123.27</v>
      </c>
      <c r="G1922" s="131">
        <f t="shared" si="139"/>
        <v>9161.2899839999991</v>
      </c>
      <c r="H1922" s="156">
        <v>60.47</v>
      </c>
      <c r="I1922" s="156">
        <v>30230.11</v>
      </c>
      <c r="J1922" s="156">
        <v>0</v>
      </c>
      <c r="K1922" s="131">
        <f t="shared" si="140"/>
        <v>30290.58</v>
      </c>
      <c r="L1922" s="134">
        <v>0.1792</v>
      </c>
    </row>
    <row r="1923" spans="3:12">
      <c r="C1923" s="161">
        <f t="shared" si="138"/>
        <v>2017</v>
      </c>
      <c r="D1923" s="35" t="s">
        <v>289</v>
      </c>
      <c r="E1923" s="227">
        <v>42795</v>
      </c>
      <c r="F1923" s="156">
        <v>47679.29</v>
      </c>
      <c r="G1923" s="131">
        <f t="shared" si="139"/>
        <v>8544.1287680000005</v>
      </c>
      <c r="H1923" s="156">
        <v>239.95</v>
      </c>
      <c r="I1923" s="156">
        <v>0</v>
      </c>
      <c r="J1923" s="156">
        <v>0</v>
      </c>
      <c r="K1923" s="131">
        <f t="shared" si="140"/>
        <v>239.95</v>
      </c>
      <c r="L1923" s="134">
        <v>0.1792</v>
      </c>
    </row>
    <row r="1924" spans="3:12">
      <c r="C1924" s="161">
        <f t="shared" ref="C1924:C1987" si="141">YEAR(E1924)</f>
        <v>2017</v>
      </c>
      <c r="D1924" s="35" t="s">
        <v>289</v>
      </c>
      <c r="E1924" s="227">
        <v>42826</v>
      </c>
      <c r="F1924" s="156">
        <v>52812.56</v>
      </c>
      <c r="G1924" s="131">
        <f t="shared" ref="G1924:G1987" si="142">F1924*L1924</f>
        <v>9464.0107520000001</v>
      </c>
      <c r="H1924" s="156">
        <v>94.07</v>
      </c>
      <c r="I1924" s="156">
        <v>0</v>
      </c>
      <c r="J1924" s="156">
        <v>0</v>
      </c>
      <c r="K1924" s="131">
        <f t="shared" ref="K1924:K1987" si="143">SUM(H1924:J1924)</f>
        <v>94.07</v>
      </c>
      <c r="L1924" s="134">
        <v>0.1792</v>
      </c>
    </row>
    <row r="1925" spans="3:12">
      <c r="C1925" s="161">
        <f t="shared" si="141"/>
        <v>2017</v>
      </c>
      <c r="D1925" s="35" t="s">
        <v>289</v>
      </c>
      <c r="E1925" s="227">
        <v>42856</v>
      </c>
      <c r="F1925" s="156">
        <v>51057.86</v>
      </c>
      <c r="G1925" s="131">
        <f t="shared" si="142"/>
        <v>9149.5685119999998</v>
      </c>
      <c r="H1925" s="156">
        <v>0</v>
      </c>
      <c r="I1925" s="156">
        <v>0</v>
      </c>
      <c r="J1925" s="156">
        <v>0</v>
      </c>
      <c r="K1925" s="131">
        <f t="shared" si="143"/>
        <v>0</v>
      </c>
      <c r="L1925" s="134">
        <v>0.1792</v>
      </c>
    </row>
    <row r="1926" spans="3:12">
      <c r="C1926" s="161">
        <f t="shared" si="141"/>
        <v>2017</v>
      </c>
      <c r="D1926" s="35" t="s">
        <v>289</v>
      </c>
      <c r="E1926" s="227">
        <v>42887</v>
      </c>
      <c r="F1926" s="156">
        <v>48435.79</v>
      </c>
      <c r="G1926" s="131">
        <f t="shared" si="142"/>
        <v>8679.6935680000006</v>
      </c>
      <c r="H1926" s="156">
        <v>200.07</v>
      </c>
      <c r="I1926" s="156">
        <v>0</v>
      </c>
      <c r="J1926" s="156">
        <v>0</v>
      </c>
      <c r="K1926" s="131">
        <f t="shared" si="143"/>
        <v>200.07</v>
      </c>
      <c r="L1926" s="134">
        <v>0.1792</v>
      </c>
    </row>
    <row r="1927" spans="3:12">
      <c r="C1927" s="161">
        <f t="shared" si="141"/>
        <v>2017</v>
      </c>
      <c r="D1927" s="35" t="s">
        <v>289</v>
      </c>
      <c r="E1927" s="227">
        <v>42917</v>
      </c>
      <c r="F1927" s="156">
        <v>54164.81</v>
      </c>
      <c r="G1927" s="131">
        <f t="shared" si="142"/>
        <v>9706.333951999999</v>
      </c>
      <c r="H1927" s="156">
        <v>2951.16</v>
      </c>
      <c r="I1927" s="156">
        <v>10195.459999999999</v>
      </c>
      <c r="J1927" s="156">
        <v>0</v>
      </c>
      <c r="K1927" s="131">
        <f t="shared" si="143"/>
        <v>13146.619999999999</v>
      </c>
      <c r="L1927" s="134">
        <v>0.1792</v>
      </c>
    </row>
    <row r="1928" spans="3:12">
      <c r="C1928" s="161">
        <f t="shared" si="141"/>
        <v>2017</v>
      </c>
      <c r="D1928" s="35" t="s">
        <v>289</v>
      </c>
      <c r="E1928" s="227">
        <v>42948</v>
      </c>
      <c r="F1928" s="156">
        <v>62365.47</v>
      </c>
      <c r="G1928" s="131">
        <f t="shared" si="142"/>
        <v>11175.892223999999</v>
      </c>
      <c r="H1928" s="156">
        <v>92.82</v>
      </c>
      <c r="I1928" s="156">
        <v>0</v>
      </c>
      <c r="J1928" s="156">
        <v>0</v>
      </c>
      <c r="K1928" s="131">
        <f t="shared" si="143"/>
        <v>92.82</v>
      </c>
      <c r="L1928" s="134">
        <v>0.1792</v>
      </c>
    </row>
    <row r="1929" spans="3:12">
      <c r="C1929" s="161">
        <f t="shared" si="141"/>
        <v>2017</v>
      </c>
      <c r="D1929" s="35" t="s">
        <v>289</v>
      </c>
      <c r="E1929" s="227">
        <v>42979</v>
      </c>
      <c r="F1929" s="156">
        <v>58190.74</v>
      </c>
      <c r="G1929" s="131">
        <f t="shared" si="142"/>
        <v>10427.780607999999</v>
      </c>
      <c r="H1929" s="156">
        <v>100.14</v>
      </c>
      <c r="I1929" s="156">
        <v>0</v>
      </c>
      <c r="J1929" s="156">
        <v>0</v>
      </c>
      <c r="K1929" s="131">
        <f t="shared" si="143"/>
        <v>100.14</v>
      </c>
      <c r="L1929" s="134">
        <v>0.1792</v>
      </c>
    </row>
    <row r="1930" spans="3:12">
      <c r="C1930" s="161">
        <f t="shared" si="141"/>
        <v>2017</v>
      </c>
      <c r="D1930" s="35" t="s">
        <v>289</v>
      </c>
      <c r="E1930" s="227">
        <v>43009</v>
      </c>
      <c r="F1930" s="156">
        <v>61489.48</v>
      </c>
      <c r="G1930" s="131">
        <f t="shared" si="142"/>
        <v>11018.914816</v>
      </c>
      <c r="H1930" s="156">
        <v>104.24</v>
      </c>
      <c r="I1930" s="156">
        <v>0</v>
      </c>
      <c r="J1930" s="156">
        <v>0</v>
      </c>
      <c r="K1930" s="131">
        <f t="shared" si="143"/>
        <v>104.24</v>
      </c>
      <c r="L1930" s="134">
        <v>0.1792</v>
      </c>
    </row>
    <row r="1931" spans="3:12">
      <c r="C1931" s="161">
        <f t="shared" si="141"/>
        <v>2017</v>
      </c>
      <c r="D1931" s="35" t="s">
        <v>289</v>
      </c>
      <c r="E1931" s="227">
        <v>43040</v>
      </c>
      <c r="F1931" s="156">
        <v>57449.11</v>
      </c>
      <c r="G1931" s="131">
        <f t="shared" si="142"/>
        <v>10294.880512</v>
      </c>
      <c r="H1931" s="156">
        <v>104.04</v>
      </c>
      <c r="I1931" s="156">
        <v>0</v>
      </c>
      <c r="J1931" s="156">
        <v>0</v>
      </c>
      <c r="K1931" s="131">
        <f t="shared" si="143"/>
        <v>104.04</v>
      </c>
      <c r="L1931" s="134">
        <v>0.1792</v>
      </c>
    </row>
    <row r="1932" spans="3:12">
      <c r="C1932" s="161">
        <f t="shared" si="141"/>
        <v>2017</v>
      </c>
      <c r="D1932" s="35" t="s">
        <v>289</v>
      </c>
      <c r="E1932" s="227">
        <v>43070</v>
      </c>
      <c r="F1932" s="156">
        <v>51142.5</v>
      </c>
      <c r="G1932" s="131">
        <f t="shared" si="142"/>
        <v>9164.7360000000008</v>
      </c>
      <c r="H1932" s="156">
        <v>0</v>
      </c>
      <c r="I1932" s="156">
        <v>0</v>
      </c>
      <c r="J1932" s="156">
        <v>0</v>
      </c>
      <c r="K1932" s="131">
        <f t="shared" si="143"/>
        <v>0</v>
      </c>
      <c r="L1932" s="134">
        <v>0.1792</v>
      </c>
    </row>
    <row r="1933" spans="3:12">
      <c r="C1933" s="161">
        <f t="shared" si="141"/>
        <v>2018</v>
      </c>
      <c r="D1933" s="35" t="s">
        <v>289</v>
      </c>
      <c r="E1933" s="227">
        <v>43101</v>
      </c>
      <c r="F1933" s="156">
        <v>53484.6</v>
      </c>
      <c r="G1933" s="131">
        <f t="shared" si="142"/>
        <v>9584.4403199999997</v>
      </c>
      <c r="H1933" s="156">
        <v>44.64</v>
      </c>
      <c r="I1933" s="156">
        <v>0</v>
      </c>
      <c r="J1933" s="156">
        <v>0</v>
      </c>
      <c r="K1933" s="131">
        <f t="shared" si="143"/>
        <v>44.64</v>
      </c>
      <c r="L1933" s="134">
        <v>0.1792</v>
      </c>
    </row>
    <row r="1934" spans="3:12">
      <c r="C1934" s="161">
        <f t="shared" si="141"/>
        <v>2018</v>
      </c>
      <c r="D1934" s="35" t="s">
        <v>289</v>
      </c>
      <c r="E1934" s="227">
        <v>43132</v>
      </c>
      <c r="F1934" s="156">
        <v>52533.13</v>
      </c>
      <c r="G1934" s="131">
        <f t="shared" si="142"/>
        <v>9413.9368959999993</v>
      </c>
      <c r="H1934" s="156">
        <v>198.21</v>
      </c>
      <c r="I1934" s="156">
        <v>0</v>
      </c>
      <c r="J1934" s="156">
        <v>0</v>
      </c>
      <c r="K1934" s="131">
        <f t="shared" si="143"/>
        <v>198.21</v>
      </c>
      <c r="L1934" s="134">
        <v>0.1792</v>
      </c>
    </row>
    <row r="1935" spans="3:12">
      <c r="C1935" s="161">
        <f t="shared" si="141"/>
        <v>2018</v>
      </c>
      <c r="D1935" s="35" t="s">
        <v>289</v>
      </c>
      <c r="E1935" s="227">
        <v>43160</v>
      </c>
      <c r="F1935" s="156">
        <v>51813.8</v>
      </c>
      <c r="G1935" s="131">
        <f t="shared" si="142"/>
        <v>9285.0329600000005</v>
      </c>
      <c r="H1935" s="156">
        <v>0</v>
      </c>
      <c r="I1935" s="156">
        <v>0</v>
      </c>
      <c r="J1935" s="156">
        <v>0</v>
      </c>
      <c r="K1935" s="131">
        <f t="shared" si="143"/>
        <v>0</v>
      </c>
      <c r="L1935" s="134">
        <v>0.1792</v>
      </c>
    </row>
    <row r="1936" spans="3:12">
      <c r="C1936" s="161">
        <f t="shared" si="141"/>
        <v>2018</v>
      </c>
      <c r="D1936" s="35" t="s">
        <v>289</v>
      </c>
      <c r="E1936" s="227">
        <v>43191</v>
      </c>
      <c r="F1936" s="156">
        <v>56683.09</v>
      </c>
      <c r="G1936" s="131">
        <f t="shared" si="142"/>
        <v>10157.609727999999</v>
      </c>
      <c r="H1936" s="156">
        <v>2839.36</v>
      </c>
      <c r="I1936" s="156">
        <v>0</v>
      </c>
      <c r="J1936" s="156">
        <v>0</v>
      </c>
      <c r="K1936" s="131">
        <f t="shared" si="143"/>
        <v>2839.36</v>
      </c>
      <c r="L1936" s="134">
        <v>0.1792</v>
      </c>
    </row>
    <row r="1937" spans="3:12">
      <c r="C1937" s="161">
        <f t="shared" si="141"/>
        <v>2018</v>
      </c>
      <c r="D1937" s="35" t="s">
        <v>289</v>
      </c>
      <c r="E1937" s="227">
        <v>43221</v>
      </c>
      <c r="F1937" s="156">
        <v>52937.85</v>
      </c>
      <c r="G1937" s="131">
        <f t="shared" si="142"/>
        <v>9486.4627199999995</v>
      </c>
      <c r="H1937" s="156">
        <v>0</v>
      </c>
      <c r="I1937" s="156">
        <v>34231.660000000003</v>
      </c>
      <c r="J1937" s="156">
        <v>0</v>
      </c>
      <c r="K1937" s="131">
        <f t="shared" si="143"/>
        <v>34231.660000000003</v>
      </c>
      <c r="L1937" s="134">
        <v>0.1792</v>
      </c>
    </row>
    <row r="1938" spans="3:12">
      <c r="C1938" s="161">
        <f t="shared" si="141"/>
        <v>2018</v>
      </c>
      <c r="D1938" s="35" t="s">
        <v>289</v>
      </c>
      <c r="E1938" s="227">
        <v>43252</v>
      </c>
      <c r="F1938" s="156">
        <v>57215.75</v>
      </c>
      <c r="G1938" s="131">
        <f t="shared" si="142"/>
        <v>10253.062400000001</v>
      </c>
      <c r="H1938" s="156">
        <v>0</v>
      </c>
      <c r="I1938" s="156">
        <v>0</v>
      </c>
      <c r="J1938" s="156">
        <v>0</v>
      </c>
      <c r="K1938" s="131">
        <f t="shared" si="143"/>
        <v>0</v>
      </c>
      <c r="L1938" s="134">
        <v>0.1792</v>
      </c>
    </row>
    <row r="1939" spans="3:12">
      <c r="C1939" s="161">
        <f t="shared" si="141"/>
        <v>2018</v>
      </c>
      <c r="D1939" s="35" t="s">
        <v>289</v>
      </c>
      <c r="E1939" s="227">
        <v>43282</v>
      </c>
      <c r="F1939" s="156">
        <v>57408.36</v>
      </c>
      <c r="G1939" s="131">
        <f t="shared" si="142"/>
        <v>10287.578111999999</v>
      </c>
      <c r="H1939" s="156">
        <v>0</v>
      </c>
      <c r="I1939" s="156">
        <v>0</v>
      </c>
      <c r="J1939" s="156">
        <v>0</v>
      </c>
      <c r="K1939" s="131">
        <f t="shared" si="143"/>
        <v>0</v>
      </c>
      <c r="L1939" s="134">
        <v>0.1792</v>
      </c>
    </row>
    <row r="1940" spans="3:12">
      <c r="C1940" s="161">
        <f t="shared" si="141"/>
        <v>2018</v>
      </c>
      <c r="D1940" s="35" t="s">
        <v>289</v>
      </c>
      <c r="E1940" s="227">
        <v>43313</v>
      </c>
      <c r="F1940" s="156">
        <v>57778.879999999997</v>
      </c>
      <c r="G1940" s="131">
        <f t="shared" si="142"/>
        <v>10353.975295999999</v>
      </c>
      <c r="H1940" s="156">
        <v>595.11</v>
      </c>
      <c r="I1940" s="156">
        <v>3787.68</v>
      </c>
      <c r="J1940" s="156">
        <v>666.66</v>
      </c>
      <c r="K1940" s="131">
        <f t="shared" si="143"/>
        <v>5049.45</v>
      </c>
      <c r="L1940" s="134">
        <v>0.1792</v>
      </c>
    </row>
    <row r="1941" spans="3:12">
      <c r="C1941" s="161">
        <f t="shared" si="141"/>
        <v>2018</v>
      </c>
      <c r="D1941" s="35" t="s">
        <v>289</v>
      </c>
      <c r="E1941" s="227">
        <v>43344</v>
      </c>
      <c r="F1941" s="156">
        <v>61304.11</v>
      </c>
      <c r="G1941" s="131">
        <f t="shared" si="142"/>
        <v>10985.696512</v>
      </c>
      <c r="H1941" s="156">
        <v>47392.800000000003</v>
      </c>
      <c r="I1941" s="156">
        <v>0</v>
      </c>
      <c r="J1941" s="156">
        <v>0</v>
      </c>
      <c r="K1941" s="131">
        <f t="shared" si="143"/>
        <v>47392.800000000003</v>
      </c>
      <c r="L1941" s="134">
        <v>0.1792</v>
      </c>
    </row>
    <row r="1942" spans="3:12">
      <c r="C1942" s="161">
        <f t="shared" si="141"/>
        <v>2018</v>
      </c>
      <c r="D1942" s="35" t="s">
        <v>289</v>
      </c>
      <c r="E1942" s="227">
        <v>43374</v>
      </c>
      <c r="F1942" s="156">
        <v>56747.88</v>
      </c>
      <c r="G1942" s="131">
        <f t="shared" si="142"/>
        <v>10169.220095999999</v>
      </c>
      <c r="H1942" s="156">
        <v>44167.25</v>
      </c>
      <c r="I1942" s="156">
        <v>0</v>
      </c>
      <c r="J1942" s="156">
        <v>358</v>
      </c>
      <c r="K1942" s="131">
        <f t="shared" si="143"/>
        <v>44525.25</v>
      </c>
      <c r="L1942" s="134">
        <v>0.1792</v>
      </c>
    </row>
    <row r="1943" spans="3:12">
      <c r="C1943" s="161">
        <f t="shared" si="141"/>
        <v>2018</v>
      </c>
      <c r="D1943" s="35" t="s">
        <v>289</v>
      </c>
      <c r="E1943" s="227">
        <v>43405</v>
      </c>
      <c r="F1943" s="156">
        <v>58914.782025</v>
      </c>
      <c r="G1943" s="131">
        <f t="shared" si="142"/>
        <v>10557.528938879999</v>
      </c>
      <c r="H1943" s="156">
        <v>47919.94</v>
      </c>
      <c r="I1943" s="156">
        <v>59490</v>
      </c>
      <c r="J1943" s="156">
        <v>0</v>
      </c>
      <c r="K1943" s="131">
        <f t="shared" si="143"/>
        <v>107409.94</v>
      </c>
      <c r="L1943" s="134">
        <v>0.1792</v>
      </c>
    </row>
    <row r="1944" spans="3:12">
      <c r="C1944" s="161">
        <f t="shared" si="141"/>
        <v>2018</v>
      </c>
      <c r="D1944" s="35" t="s">
        <v>289</v>
      </c>
      <c r="E1944" s="227">
        <v>43435</v>
      </c>
      <c r="F1944" s="156">
        <v>56751.03</v>
      </c>
      <c r="G1944" s="131">
        <f t="shared" si="142"/>
        <v>10169.784576</v>
      </c>
      <c r="H1944" s="156">
        <v>169.18</v>
      </c>
      <c r="I1944" s="156">
        <v>1958</v>
      </c>
      <c r="J1944" s="156">
        <v>0</v>
      </c>
      <c r="K1944" s="131">
        <f t="shared" si="143"/>
        <v>2127.1799999999998</v>
      </c>
      <c r="L1944" s="134">
        <v>0.1792</v>
      </c>
    </row>
    <row r="1945" spans="3:12">
      <c r="C1945" s="161">
        <f t="shared" si="141"/>
        <v>2019</v>
      </c>
      <c r="D1945" s="35" t="s">
        <v>289</v>
      </c>
      <c r="E1945" s="227">
        <v>43466</v>
      </c>
      <c r="F1945" s="156">
        <v>58953.31</v>
      </c>
      <c r="G1945" s="131">
        <f t="shared" si="142"/>
        <v>10564.433152</v>
      </c>
      <c r="H1945" s="156">
        <v>138.35</v>
      </c>
      <c r="I1945" s="156">
        <v>0</v>
      </c>
      <c r="J1945" s="156">
        <v>0</v>
      </c>
      <c r="K1945" s="131">
        <f t="shared" si="143"/>
        <v>138.35</v>
      </c>
      <c r="L1945" s="134">
        <v>0.1792</v>
      </c>
    </row>
    <row r="1946" spans="3:12">
      <c r="C1946" s="161">
        <f t="shared" si="141"/>
        <v>2019</v>
      </c>
      <c r="D1946" s="35" t="s">
        <v>289</v>
      </c>
      <c r="E1946" s="227">
        <v>43497</v>
      </c>
      <c r="F1946" s="156">
        <v>56925.01</v>
      </c>
      <c r="G1946" s="131">
        <f t="shared" si="142"/>
        <v>10200.961792</v>
      </c>
      <c r="H1946" s="156">
        <v>126.89</v>
      </c>
      <c r="I1946" s="156">
        <v>7736.6</v>
      </c>
      <c r="J1946" s="156">
        <v>0</v>
      </c>
      <c r="K1946" s="131">
        <f t="shared" si="143"/>
        <v>7863.4900000000007</v>
      </c>
      <c r="L1946" s="134">
        <v>0.1792</v>
      </c>
    </row>
    <row r="1947" spans="3:12">
      <c r="C1947" s="161">
        <f t="shared" si="141"/>
        <v>2019</v>
      </c>
      <c r="D1947" s="35" t="s">
        <v>289</v>
      </c>
      <c r="E1947" s="227">
        <v>43525</v>
      </c>
      <c r="F1947" s="156">
        <v>53460.63</v>
      </c>
      <c r="G1947" s="131">
        <f t="shared" si="142"/>
        <v>9580.1448959999998</v>
      </c>
      <c r="H1947" s="156">
        <v>42.3</v>
      </c>
      <c r="I1947" s="156">
        <v>0</v>
      </c>
      <c r="J1947" s="156">
        <v>0</v>
      </c>
      <c r="K1947" s="131">
        <f t="shared" si="143"/>
        <v>42.3</v>
      </c>
      <c r="L1947" s="134">
        <v>0.1792</v>
      </c>
    </row>
    <row r="1948" spans="3:12">
      <c r="C1948" s="161">
        <f t="shared" si="141"/>
        <v>2019</v>
      </c>
      <c r="D1948" s="35" t="s">
        <v>289</v>
      </c>
      <c r="E1948" s="227">
        <v>43556</v>
      </c>
      <c r="F1948" s="156">
        <v>57669.78</v>
      </c>
      <c r="G1948" s="131">
        <f t="shared" si="142"/>
        <v>10334.424575999999</v>
      </c>
      <c r="H1948" s="156">
        <v>0</v>
      </c>
      <c r="I1948" s="156">
        <v>0</v>
      </c>
      <c r="J1948" s="156">
        <v>0</v>
      </c>
      <c r="K1948" s="131">
        <f t="shared" si="143"/>
        <v>0</v>
      </c>
      <c r="L1948" s="134">
        <v>0.1792</v>
      </c>
    </row>
    <row r="1949" spans="3:12">
      <c r="C1949" s="161">
        <f t="shared" si="141"/>
        <v>2019</v>
      </c>
      <c r="D1949" s="35" t="s">
        <v>289</v>
      </c>
      <c r="E1949" s="227">
        <v>43586</v>
      </c>
      <c r="F1949" s="156">
        <v>54763.28</v>
      </c>
      <c r="G1949" s="131">
        <f t="shared" si="142"/>
        <v>9813.5797760000005</v>
      </c>
      <c r="H1949" s="156">
        <v>116.48</v>
      </c>
      <c r="I1949" s="156">
        <v>0</v>
      </c>
      <c r="J1949" s="156">
        <v>0</v>
      </c>
      <c r="K1949" s="131">
        <f t="shared" si="143"/>
        <v>116.48</v>
      </c>
      <c r="L1949" s="134">
        <v>0.1792</v>
      </c>
    </row>
    <row r="1950" spans="3:12">
      <c r="C1950" s="161">
        <f t="shared" si="141"/>
        <v>2019</v>
      </c>
      <c r="D1950" s="35" t="s">
        <v>289</v>
      </c>
      <c r="E1950" s="227">
        <v>43617</v>
      </c>
      <c r="F1950" s="156">
        <v>64004.3</v>
      </c>
      <c r="G1950" s="131">
        <f t="shared" si="142"/>
        <v>11469.57056</v>
      </c>
      <c r="H1950" s="156">
        <v>0</v>
      </c>
      <c r="I1950" s="156">
        <v>0</v>
      </c>
      <c r="J1950" s="156">
        <v>0</v>
      </c>
      <c r="K1950" s="131">
        <f t="shared" si="143"/>
        <v>0</v>
      </c>
      <c r="L1950" s="134">
        <v>0.1792</v>
      </c>
    </row>
    <row r="1951" spans="3:12">
      <c r="C1951" s="161">
        <f t="shared" si="141"/>
        <v>2019</v>
      </c>
      <c r="D1951" s="35" t="s">
        <v>289</v>
      </c>
      <c r="E1951" s="227">
        <v>43647</v>
      </c>
      <c r="F1951" s="156">
        <v>58180.61</v>
      </c>
      <c r="G1951" s="131">
        <f t="shared" si="142"/>
        <v>10425.965312</v>
      </c>
      <c r="H1951" s="156">
        <v>0</v>
      </c>
      <c r="I1951" s="156">
        <v>0</v>
      </c>
      <c r="J1951" s="156">
        <v>0</v>
      </c>
      <c r="K1951" s="131">
        <f t="shared" si="143"/>
        <v>0</v>
      </c>
      <c r="L1951" s="134">
        <v>0.1792</v>
      </c>
    </row>
    <row r="1952" spans="3:12">
      <c r="C1952" s="161">
        <f t="shared" si="141"/>
        <v>2019</v>
      </c>
      <c r="D1952" s="35" t="s">
        <v>289</v>
      </c>
      <c r="E1952" s="227">
        <v>43678</v>
      </c>
      <c r="F1952" s="156">
        <v>67034.66</v>
      </c>
      <c r="G1952" s="131">
        <f t="shared" si="142"/>
        <v>12012.611072</v>
      </c>
      <c r="H1952" s="156">
        <v>236.51</v>
      </c>
      <c r="I1952" s="156">
        <v>0</v>
      </c>
      <c r="J1952" s="156">
        <v>0</v>
      </c>
      <c r="K1952" s="131">
        <f t="shared" si="143"/>
        <v>236.51</v>
      </c>
      <c r="L1952" s="134">
        <v>0.1792</v>
      </c>
    </row>
    <row r="1953" spans="3:12">
      <c r="C1953" s="161">
        <f t="shared" si="141"/>
        <v>2019</v>
      </c>
      <c r="D1953" s="35" t="s">
        <v>289</v>
      </c>
      <c r="E1953" s="227">
        <v>43709</v>
      </c>
      <c r="F1953" s="156">
        <v>80271.69</v>
      </c>
      <c r="G1953" s="131">
        <f t="shared" si="142"/>
        <v>14384.686847999999</v>
      </c>
      <c r="H1953" s="156">
        <v>177.39</v>
      </c>
      <c r="I1953" s="156">
        <v>0</v>
      </c>
      <c r="J1953" s="156">
        <v>0</v>
      </c>
      <c r="K1953" s="131">
        <f t="shared" si="143"/>
        <v>177.39</v>
      </c>
      <c r="L1953" s="134">
        <v>0.1792</v>
      </c>
    </row>
    <row r="1954" spans="3:12">
      <c r="C1954" s="161">
        <f t="shared" si="141"/>
        <v>2019</v>
      </c>
      <c r="D1954" s="35" t="s">
        <v>289</v>
      </c>
      <c r="E1954" s="227">
        <v>43739</v>
      </c>
      <c r="F1954" s="156">
        <v>72712.13</v>
      </c>
      <c r="G1954" s="131">
        <f t="shared" si="142"/>
        <v>13030.013696</v>
      </c>
      <c r="H1954" s="156">
        <v>295.64</v>
      </c>
      <c r="I1954" s="156">
        <v>-1173.04</v>
      </c>
      <c r="J1954" s="156">
        <v>2961.38</v>
      </c>
      <c r="K1954" s="131">
        <f t="shared" si="143"/>
        <v>2083.98</v>
      </c>
      <c r="L1954" s="134">
        <v>0.1792</v>
      </c>
    </row>
    <row r="1955" spans="3:12">
      <c r="C1955" s="161">
        <f t="shared" si="141"/>
        <v>2019</v>
      </c>
      <c r="D1955" s="35" t="s">
        <v>289</v>
      </c>
      <c r="E1955" s="227">
        <v>43770</v>
      </c>
      <c r="F1955" s="156">
        <v>75144.789999999994</v>
      </c>
      <c r="G1955" s="131">
        <f t="shared" si="142"/>
        <v>13465.946367999999</v>
      </c>
      <c r="H1955" s="156">
        <v>0</v>
      </c>
      <c r="I1955" s="156">
        <v>0</v>
      </c>
      <c r="J1955" s="156">
        <v>0</v>
      </c>
      <c r="K1955" s="131">
        <f t="shared" si="143"/>
        <v>0</v>
      </c>
      <c r="L1955" s="134">
        <v>0.1792</v>
      </c>
    </row>
    <row r="1956" spans="3:12">
      <c r="C1956" s="161">
        <f t="shared" si="141"/>
        <v>2019</v>
      </c>
      <c r="D1956" s="35" t="s">
        <v>289</v>
      </c>
      <c r="E1956" s="227">
        <v>43800</v>
      </c>
      <c r="F1956" s="156">
        <v>69904.36</v>
      </c>
      <c r="G1956" s="131">
        <f t="shared" si="142"/>
        <v>12526.861311999999</v>
      </c>
      <c r="H1956" s="156">
        <v>413.9</v>
      </c>
      <c r="I1956" s="156">
        <v>1757.08</v>
      </c>
      <c r="J1956" s="156">
        <v>0</v>
      </c>
      <c r="K1956" s="131">
        <f t="shared" si="143"/>
        <v>2170.98</v>
      </c>
      <c r="L1956" s="134">
        <v>0.1792</v>
      </c>
    </row>
    <row r="1957" spans="3:12">
      <c r="C1957" s="161">
        <f t="shared" si="141"/>
        <v>2020</v>
      </c>
      <c r="D1957" s="35" t="s">
        <v>289</v>
      </c>
      <c r="E1957" s="227">
        <v>43831</v>
      </c>
      <c r="F1957" s="156">
        <v>61309.919999999998</v>
      </c>
      <c r="G1957" s="131">
        <f t="shared" si="142"/>
        <v>10986.737664</v>
      </c>
      <c r="H1957" s="156">
        <v>0</v>
      </c>
      <c r="I1957" s="156">
        <v>0</v>
      </c>
      <c r="J1957" s="156">
        <v>0</v>
      </c>
      <c r="K1957" s="131">
        <f t="shared" si="143"/>
        <v>0</v>
      </c>
      <c r="L1957" s="134">
        <v>0.1792</v>
      </c>
    </row>
    <row r="1958" spans="3:12">
      <c r="C1958" s="161">
        <f t="shared" si="141"/>
        <v>2020</v>
      </c>
      <c r="D1958" s="35" t="s">
        <v>289</v>
      </c>
      <c r="E1958" s="227">
        <v>43862</v>
      </c>
      <c r="F1958" s="156">
        <v>65772.460000000006</v>
      </c>
      <c r="G1958" s="131">
        <f t="shared" si="142"/>
        <v>11786.424832000001</v>
      </c>
      <c r="H1958" s="156">
        <v>179.36</v>
      </c>
      <c r="I1958" s="156">
        <v>0</v>
      </c>
      <c r="J1958" s="156">
        <v>0</v>
      </c>
      <c r="K1958" s="131">
        <f t="shared" si="143"/>
        <v>179.36</v>
      </c>
      <c r="L1958" s="134">
        <v>0.1792</v>
      </c>
    </row>
    <row r="1959" spans="3:12">
      <c r="C1959" s="161">
        <f t="shared" si="141"/>
        <v>2020</v>
      </c>
      <c r="D1959" s="35" t="s">
        <v>289</v>
      </c>
      <c r="E1959" s="227">
        <v>43891</v>
      </c>
      <c r="F1959" s="156">
        <v>65978.970749999993</v>
      </c>
      <c r="G1959" s="131">
        <f t="shared" si="142"/>
        <v>11823.431558399998</v>
      </c>
      <c r="H1959" s="156">
        <v>0</v>
      </c>
      <c r="I1959" s="156">
        <v>326.16000000000003</v>
      </c>
      <c r="J1959" s="156">
        <v>0</v>
      </c>
      <c r="K1959" s="131">
        <f t="shared" si="143"/>
        <v>326.16000000000003</v>
      </c>
      <c r="L1959" s="134">
        <v>0.1792</v>
      </c>
    </row>
    <row r="1960" spans="3:12">
      <c r="C1960" s="161">
        <f t="shared" si="141"/>
        <v>2020</v>
      </c>
      <c r="D1960" s="35" t="s">
        <v>289</v>
      </c>
      <c r="E1960" s="227">
        <v>43922</v>
      </c>
      <c r="F1960" s="156">
        <v>71305.932224999997</v>
      </c>
      <c r="G1960" s="131">
        <f t="shared" si="142"/>
        <v>12778.023054719999</v>
      </c>
      <c r="H1960" s="156">
        <v>907.65</v>
      </c>
      <c r="I1960" s="156">
        <v>0</v>
      </c>
      <c r="J1960" s="156">
        <v>0</v>
      </c>
      <c r="K1960" s="131">
        <f t="shared" si="143"/>
        <v>907.65</v>
      </c>
      <c r="L1960" s="134">
        <v>0.1792</v>
      </c>
    </row>
    <row r="1961" spans="3:12">
      <c r="C1961" s="161">
        <f t="shared" si="141"/>
        <v>2020</v>
      </c>
      <c r="D1961" s="35" t="s">
        <v>289</v>
      </c>
      <c r="E1961" s="227">
        <v>43952</v>
      </c>
      <c r="F1961" s="156">
        <v>72385.84</v>
      </c>
      <c r="G1961" s="131">
        <f t="shared" si="142"/>
        <v>12971.542528</v>
      </c>
      <c r="H1961" s="156">
        <v>302.55</v>
      </c>
      <c r="I1961" s="156">
        <v>2566.94</v>
      </c>
      <c r="J1961" s="156">
        <v>0</v>
      </c>
      <c r="K1961" s="131">
        <f t="shared" si="143"/>
        <v>2869.4900000000002</v>
      </c>
      <c r="L1961" s="134">
        <v>0.1792</v>
      </c>
    </row>
    <row r="1962" spans="3:12">
      <c r="C1962" s="161">
        <f t="shared" si="141"/>
        <v>2020</v>
      </c>
      <c r="D1962" s="35" t="s">
        <v>289</v>
      </c>
      <c r="E1962" s="227">
        <v>43983</v>
      </c>
      <c r="F1962" s="156">
        <v>66479.63</v>
      </c>
      <c r="G1962" s="131">
        <f t="shared" si="142"/>
        <v>11913.149696</v>
      </c>
      <c r="H1962" s="156">
        <v>0</v>
      </c>
      <c r="I1962" s="156">
        <v>0</v>
      </c>
      <c r="J1962" s="156">
        <v>0</v>
      </c>
      <c r="K1962" s="131">
        <f t="shared" si="143"/>
        <v>0</v>
      </c>
      <c r="L1962" s="134">
        <v>0.1792</v>
      </c>
    </row>
    <row r="1963" spans="3:12">
      <c r="C1963" s="161">
        <f t="shared" si="141"/>
        <v>2020</v>
      </c>
      <c r="D1963" s="35" t="s">
        <v>289</v>
      </c>
      <c r="E1963" s="227">
        <v>44013</v>
      </c>
      <c r="F1963" s="156">
        <v>70406.52</v>
      </c>
      <c r="G1963" s="131">
        <f t="shared" si="142"/>
        <v>12616.848384000001</v>
      </c>
      <c r="H1963" s="156">
        <v>55.65</v>
      </c>
      <c r="I1963" s="156">
        <v>0</v>
      </c>
      <c r="J1963" s="156">
        <v>0</v>
      </c>
      <c r="K1963" s="131">
        <f t="shared" si="143"/>
        <v>55.65</v>
      </c>
      <c r="L1963" s="134">
        <v>0.1792</v>
      </c>
    </row>
    <row r="1964" spans="3:12">
      <c r="C1964" s="161">
        <f t="shared" si="141"/>
        <v>2020</v>
      </c>
      <c r="D1964" s="35" t="s">
        <v>289</v>
      </c>
      <c r="E1964" s="227">
        <v>44044</v>
      </c>
      <c r="F1964" s="156">
        <v>77305.75</v>
      </c>
      <c r="G1964" s="131">
        <f t="shared" si="142"/>
        <v>13853.190399999999</v>
      </c>
      <c r="H1964" s="156">
        <v>7638.2</v>
      </c>
      <c r="I1964" s="156">
        <v>344.07</v>
      </c>
      <c r="J1964" s="156">
        <v>0</v>
      </c>
      <c r="K1964" s="131">
        <f t="shared" si="143"/>
        <v>7982.2699999999995</v>
      </c>
      <c r="L1964" s="134">
        <v>0.1792</v>
      </c>
    </row>
    <row r="1965" spans="3:12">
      <c r="C1965" s="161">
        <f t="shared" si="141"/>
        <v>2020</v>
      </c>
      <c r="D1965" s="35" t="s">
        <v>289</v>
      </c>
      <c r="E1965" s="227">
        <v>44075</v>
      </c>
      <c r="F1965" s="156">
        <v>94123.17</v>
      </c>
      <c r="G1965" s="131">
        <f t="shared" si="142"/>
        <v>16866.872063999999</v>
      </c>
      <c r="H1965" s="156">
        <v>1819.65</v>
      </c>
      <c r="I1965" s="156">
        <v>11161.26</v>
      </c>
      <c r="J1965" s="156">
        <v>0</v>
      </c>
      <c r="K1965" s="131">
        <f t="shared" si="143"/>
        <v>12980.91</v>
      </c>
      <c r="L1965" s="134">
        <v>0.1792</v>
      </c>
    </row>
    <row r="1966" spans="3:12">
      <c r="C1966" s="161">
        <f t="shared" si="141"/>
        <v>2020</v>
      </c>
      <c r="D1966" s="35" t="s">
        <v>289</v>
      </c>
      <c r="E1966" s="227">
        <v>44105</v>
      </c>
      <c r="F1966" s="156">
        <v>90578.16</v>
      </c>
      <c r="G1966" s="131">
        <f t="shared" si="142"/>
        <v>16231.606272000001</v>
      </c>
      <c r="H1966" s="156">
        <v>467.64</v>
      </c>
      <c r="I1966" s="156">
        <v>72.59</v>
      </c>
      <c r="J1966" s="156">
        <v>0</v>
      </c>
      <c r="K1966" s="131">
        <f t="shared" si="143"/>
        <v>540.23</v>
      </c>
      <c r="L1966" s="134">
        <v>0.1792</v>
      </c>
    </row>
    <row r="1967" spans="3:12">
      <c r="C1967" s="161">
        <f t="shared" si="141"/>
        <v>2020</v>
      </c>
      <c r="D1967" s="35" t="s">
        <v>289</v>
      </c>
      <c r="E1967" s="227">
        <v>44136</v>
      </c>
      <c r="F1967" s="156">
        <v>71790.240000000005</v>
      </c>
      <c r="G1967" s="131">
        <f t="shared" si="142"/>
        <v>12864.811008000001</v>
      </c>
      <c r="H1967" s="156">
        <v>12616.82</v>
      </c>
      <c r="I1967" s="156">
        <v>72.59</v>
      </c>
      <c r="J1967" s="156">
        <v>0</v>
      </c>
      <c r="K1967" s="131">
        <f t="shared" si="143"/>
        <v>12689.41</v>
      </c>
      <c r="L1967" s="134">
        <v>0.1792</v>
      </c>
    </row>
    <row r="1968" spans="3:12">
      <c r="C1968" s="161">
        <f t="shared" si="141"/>
        <v>2020</v>
      </c>
      <c r="D1968" s="35" t="s">
        <v>289</v>
      </c>
      <c r="E1968" s="227">
        <v>44166</v>
      </c>
      <c r="F1968" s="156">
        <v>80444.63</v>
      </c>
      <c r="G1968" s="131">
        <f t="shared" si="142"/>
        <v>14415.677696000001</v>
      </c>
      <c r="H1968" s="156">
        <v>0</v>
      </c>
      <c r="I1968" s="156">
        <v>3832.59</v>
      </c>
      <c r="J1968" s="156">
        <v>0</v>
      </c>
      <c r="K1968" s="131">
        <f t="shared" si="143"/>
        <v>3832.59</v>
      </c>
      <c r="L1968" s="134">
        <v>0.1792</v>
      </c>
    </row>
    <row r="1969" spans="3:12">
      <c r="C1969" s="161">
        <f t="shared" si="141"/>
        <v>2021</v>
      </c>
      <c r="D1969" s="35" t="s">
        <v>289</v>
      </c>
      <c r="E1969" s="227">
        <v>44197</v>
      </c>
      <c r="F1969" s="156">
        <v>77943.850000000006</v>
      </c>
      <c r="G1969" s="131">
        <f t="shared" si="142"/>
        <v>13967.537920000001</v>
      </c>
      <c r="H1969" s="156">
        <v>9883.44</v>
      </c>
      <c r="I1969" s="156">
        <v>88.37</v>
      </c>
      <c r="J1969" s="156">
        <v>0</v>
      </c>
      <c r="K1969" s="131">
        <f t="shared" si="143"/>
        <v>9971.8100000000013</v>
      </c>
      <c r="L1969" s="134">
        <v>0.1792</v>
      </c>
    </row>
    <row r="1970" spans="3:12">
      <c r="C1970" s="161">
        <f t="shared" si="141"/>
        <v>2021</v>
      </c>
      <c r="D1970" s="35" t="s">
        <v>289</v>
      </c>
      <c r="E1970" s="227">
        <v>44229</v>
      </c>
      <c r="F1970" s="156">
        <v>66703.13</v>
      </c>
      <c r="G1970" s="131">
        <f t="shared" si="142"/>
        <v>11953.200896</v>
      </c>
      <c r="H1970" s="156">
        <v>12351.82</v>
      </c>
      <c r="I1970" s="156">
        <v>198.16</v>
      </c>
      <c r="J1970" s="156">
        <v>0</v>
      </c>
      <c r="K1970" s="131">
        <f t="shared" si="143"/>
        <v>12549.98</v>
      </c>
      <c r="L1970" s="134">
        <v>0.1792</v>
      </c>
    </row>
    <row r="1971" spans="3:12">
      <c r="C1971" s="161">
        <f t="shared" si="141"/>
        <v>2021</v>
      </c>
      <c r="D1971" s="35" t="s">
        <v>289</v>
      </c>
      <c r="E1971" s="227">
        <v>44258</v>
      </c>
      <c r="F1971" s="156">
        <v>68776.13</v>
      </c>
      <c r="G1971" s="131">
        <f t="shared" si="142"/>
        <v>12324.682496000001</v>
      </c>
      <c r="H1971" s="156">
        <v>0</v>
      </c>
      <c r="I1971" s="156">
        <v>0</v>
      </c>
      <c r="J1971" s="156">
        <v>0</v>
      </c>
      <c r="K1971" s="131">
        <f t="shared" si="143"/>
        <v>0</v>
      </c>
      <c r="L1971" s="134">
        <v>0.1792</v>
      </c>
    </row>
    <row r="1972" spans="3:12">
      <c r="C1972" s="161">
        <f t="shared" si="141"/>
        <v>2021</v>
      </c>
      <c r="D1972" s="35" t="s">
        <v>289</v>
      </c>
      <c r="E1972" s="227">
        <v>44290</v>
      </c>
      <c r="F1972" s="156">
        <v>73305.09</v>
      </c>
      <c r="G1972" s="131">
        <f t="shared" si="142"/>
        <v>13136.272127999999</v>
      </c>
      <c r="H1972" s="156">
        <v>2725.3</v>
      </c>
      <c r="I1972" s="156">
        <v>5350.28</v>
      </c>
      <c r="J1972" s="156">
        <v>0</v>
      </c>
      <c r="K1972" s="131">
        <f t="shared" si="143"/>
        <v>8075.58</v>
      </c>
      <c r="L1972" s="134">
        <v>0.1792</v>
      </c>
    </row>
    <row r="1973" spans="3:12">
      <c r="C1973" s="161">
        <f t="shared" si="141"/>
        <v>2021</v>
      </c>
      <c r="D1973" s="35" t="s">
        <v>289</v>
      </c>
      <c r="E1973" s="227">
        <v>44321</v>
      </c>
      <c r="F1973" s="156">
        <v>73501.919999999998</v>
      </c>
      <c r="G1973" s="131">
        <f t="shared" si="142"/>
        <v>13171.544064</v>
      </c>
      <c r="H1973" s="156">
        <v>976.99</v>
      </c>
      <c r="I1973" s="156">
        <v>97.89</v>
      </c>
      <c r="J1973" s="156">
        <v>0</v>
      </c>
      <c r="K1973" s="131">
        <f t="shared" si="143"/>
        <v>1074.8800000000001</v>
      </c>
      <c r="L1973" s="134">
        <v>0.1792</v>
      </c>
    </row>
    <row r="1974" spans="3:12">
      <c r="C1974" s="161">
        <f t="shared" si="141"/>
        <v>2021</v>
      </c>
      <c r="D1974" s="35" t="s">
        <v>289</v>
      </c>
      <c r="E1974" s="227">
        <v>44353</v>
      </c>
      <c r="F1974" s="156">
        <v>74098.16</v>
      </c>
      <c r="G1974" s="131">
        <f t="shared" si="142"/>
        <v>13278.390272000001</v>
      </c>
      <c r="H1974" s="156">
        <v>102.84</v>
      </c>
      <c r="I1974" s="156">
        <v>97.89</v>
      </c>
      <c r="J1974" s="156">
        <v>0</v>
      </c>
      <c r="K1974" s="131">
        <f t="shared" si="143"/>
        <v>200.73000000000002</v>
      </c>
      <c r="L1974" s="134">
        <v>0.1792</v>
      </c>
    </row>
    <row r="1975" spans="3:12">
      <c r="C1975" s="161">
        <f t="shared" si="141"/>
        <v>2015</v>
      </c>
      <c r="D1975" s="35" t="s">
        <v>290</v>
      </c>
      <c r="E1975" s="227">
        <v>42309</v>
      </c>
      <c r="F1975" s="156">
        <v>180226.69</v>
      </c>
      <c r="G1975" s="131">
        <f t="shared" si="142"/>
        <v>32296.622847999999</v>
      </c>
      <c r="H1975" s="156">
        <v>1647</v>
      </c>
      <c r="I1975" s="156">
        <v>0</v>
      </c>
      <c r="J1975" s="156">
        <v>0</v>
      </c>
      <c r="K1975" s="131">
        <f t="shared" si="143"/>
        <v>1647</v>
      </c>
      <c r="L1975" s="134">
        <v>0.1792</v>
      </c>
    </row>
    <row r="1976" spans="3:12">
      <c r="C1976" s="161">
        <f t="shared" si="141"/>
        <v>2015</v>
      </c>
      <c r="D1976" s="35" t="s">
        <v>290</v>
      </c>
      <c r="E1976" s="227">
        <v>42339</v>
      </c>
      <c r="F1976" s="156">
        <v>166000.15</v>
      </c>
      <c r="G1976" s="131">
        <f t="shared" si="142"/>
        <v>29747.226879999998</v>
      </c>
      <c r="H1976" s="156">
        <v>670.59</v>
      </c>
      <c r="I1976" s="156">
        <v>0</v>
      </c>
      <c r="J1976" s="156">
        <v>0</v>
      </c>
      <c r="K1976" s="131">
        <f t="shared" si="143"/>
        <v>670.59</v>
      </c>
      <c r="L1976" s="134">
        <v>0.1792</v>
      </c>
    </row>
    <row r="1977" spans="3:12">
      <c r="C1977" s="161">
        <f t="shared" si="141"/>
        <v>2016</v>
      </c>
      <c r="D1977" s="35" t="s">
        <v>290</v>
      </c>
      <c r="E1977" s="227">
        <v>42370</v>
      </c>
      <c r="F1977" s="156">
        <v>179299.07</v>
      </c>
      <c r="G1977" s="131">
        <f t="shared" si="142"/>
        <v>32130.393344</v>
      </c>
      <c r="H1977" s="156">
        <v>959.54</v>
      </c>
      <c r="I1977" s="156">
        <v>0</v>
      </c>
      <c r="J1977" s="156">
        <v>0</v>
      </c>
      <c r="K1977" s="131">
        <f t="shared" si="143"/>
        <v>959.54</v>
      </c>
      <c r="L1977" s="134">
        <v>0.1792</v>
      </c>
    </row>
    <row r="1978" spans="3:12">
      <c r="C1978" s="161">
        <f t="shared" si="141"/>
        <v>2016</v>
      </c>
      <c r="D1978" s="35" t="s">
        <v>290</v>
      </c>
      <c r="E1978" s="227">
        <v>42401</v>
      </c>
      <c r="F1978" s="156">
        <v>170728.19</v>
      </c>
      <c r="G1978" s="131">
        <f t="shared" si="142"/>
        <v>30594.491647999999</v>
      </c>
      <c r="H1978" s="156">
        <v>930.97</v>
      </c>
      <c r="I1978" s="156">
        <v>0</v>
      </c>
      <c r="J1978" s="156">
        <v>0</v>
      </c>
      <c r="K1978" s="131">
        <f t="shared" si="143"/>
        <v>930.97</v>
      </c>
      <c r="L1978" s="134">
        <v>0.1792</v>
      </c>
    </row>
    <row r="1979" spans="3:12">
      <c r="C1979" s="161">
        <f t="shared" si="141"/>
        <v>2016</v>
      </c>
      <c r="D1979" s="35" t="s">
        <v>290</v>
      </c>
      <c r="E1979" s="227">
        <v>42430</v>
      </c>
      <c r="F1979" s="156">
        <v>169095.04000000001</v>
      </c>
      <c r="G1979" s="131">
        <f t="shared" si="142"/>
        <v>30301.831168000001</v>
      </c>
      <c r="H1979" s="156">
        <v>44712.47</v>
      </c>
      <c r="I1979" s="156">
        <v>0</v>
      </c>
      <c r="J1979" s="156">
        <v>0</v>
      </c>
      <c r="K1979" s="131">
        <f t="shared" si="143"/>
        <v>44712.47</v>
      </c>
      <c r="L1979" s="134">
        <v>0.1792</v>
      </c>
    </row>
    <row r="1980" spans="3:12">
      <c r="C1980" s="161">
        <f t="shared" si="141"/>
        <v>2016</v>
      </c>
      <c r="D1980" s="35" t="s">
        <v>290</v>
      </c>
      <c r="E1980" s="227">
        <v>42461</v>
      </c>
      <c r="F1980" s="156">
        <v>178911.88</v>
      </c>
      <c r="G1980" s="131">
        <f t="shared" si="142"/>
        <v>32061.008895999999</v>
      </c>
      <c r="H1980" s="156">
        <v>15867.15</v>
      </c>
      <c r="I1980" s="156">
        <v>0</v>
      </c>
      <c r="J1980" s="156">
        <v>0</v>
      </c>
      <c r="K1980" s="131">
        <f t="shared" si="143"/>
        <v>15867.15</v>
      </c>
      <c r="L1980" s="134">
        <v>0.1792</v>
      </c>
    </row>
    <row r="1981" spans="3:12">
      <c r="C1981" s="161">
        <f t="shared" si="141"/>
        <v>2016</v>
      </c>
      <c r="D1981" s="35" t="s">
        <v>290</v>
      </c>
      <c r="E1981" s="227">
        <v>42491</v>
      </c>
      <c r="F1981" s="156">
        <v>172062.71</v>
      </c>
      <c r="G1981" s="131">
        <f t="shared" si="142"/>
        <v>30833.637631999998</v>
      </c>
      <c r="H1981" s="156">
        <v>473.42</v>
      </c>
      <c r="I1981" s="156">
        <v>0</v>
      </c>
      <c r="J1981" s="156">
        <v>0</v>
      </c>
      <c r="K1981" s="131">
        <f t="shared" si="143"/>
        <v>473.42</v>
      </c>
      <c r="L1981" s="134">
        <v>0.1792</v>
      </c>
    </row>
    <row r="1982" spans="3:12">
      <c r="C1982" s="161">
        <f t="shared" si="141"/>
        <v>2016</v>
      </c>
      <c r="D1982" s="35" t="s">
        <v>290</v>
      </c>
      <c r="E1982" s="227">
        <v>42522</v>
      </c>
      <c r="F1982" s="156">
        <v>137545.32</v>
      </c>
      <c r="G1982" s="131">
        <f t="shared" si="142"/>
        <v>24648.121343999999</v>
      </c>
      <c r="H1982" s="156">
        <v>705.58</v>
      </c>
      <c r="I1982" s="156">
        <v>0</v>
      </c>
      <c r="J1982" s="156">
        <v>0</v>
      </c>
      <c r="K1982" s="131">
        <f t="shared" si="143"/>
        <v>705.58</v>
      </c>
      <c r="L1982" s="134">
        <v>0.1792</v>
      </c>
    </row>
    <row r="1983" spans="3:12">
      <c r="C1983" s="161">
        <f t="shared" si="141"/>
        <v>2016</v>
      </c>
      <c r="D1983" s="35" t="s">
        <v>290</v>
      </c>
      <c r="E1983" s="227">
        <v>42552</v>
      </c>
      <c r="F1983" s="156">
        <v>170749.05</v>
      </c>
      <c r="G1983" s="131">
        <f t="shared" si="142"/>
        <v>30598.229759999998</v>
      </c>
      <c r="H1983" s="156">
        <v>7610.25</v>
      </c>
      <c r="I1983" s="156">
        <v>39775.599999999999</v>
      </c>
      <c r="J1983" s="156">
        <v>3980</v>
      </c>
      <c r="K1983" s="131">
        <f t="shared" si="143"/>
        <v>51365.85</v>
      </c>
      <c r="L1983" s="134">
        <v>0.1792</v>
      </c>
    </row>
    <row r="1984" spans="3:12">
      <c r="C1984" s="161">
        <f t="shared" si="141"/>
        <v>2016</v>
      </c>
      <c r="D1984" s="35" t="s">
        <v>290</v>
      </c>
      <c r="E1984" s="227">
        <v>42583</v>
      </c>
      <c r="F1984" s="156">
        <v>185679.65</v>
      </c>
      <c r="G1984" s="131">
        <f t="shared" si="142"/>
        <v>33273.793279999998</v>
      </c>
      <c r="H1984" s="156">
        <v>7097.85</v>
      </c>
      <c r="I1984" s="156">
        <v>338109.81</v>
      </c>
      <c r="J1984" s="156">
        <v>0</v>
      </c>
      <c r="K1984" s="131">
        <f t="shared" si="143"/>
        <v>345207.66</v>
      </c>
      <c r="L1984" s="134">
        <v>0.1792</v>
      </c>
    </row>
    <row r="1985" spans="3:12">
      <c r="C1985" s="161">
        <f t="shared" si="141"/>
        <v>2016</v>
      </c>
      <c r="D1985" s="35" t="s">
        <v>290</v>
      </c>
      <c r="E1985" s="227">
        <v>42614</v>
      </c>
      <c r="F1985" s="156">
        <v>184778.09</v>
      </c>
      <c r="G1985" s="131">
        <f t="shared" si="142"/>
        <v>33112.233727999999</v>
      </c>
      <c r="H1985" s="156">
        <v>902.41</v>
      </c>
      <c r="I1985" s="156">
        <v>1106072.1100000001</v>
      </c>
      <c r="J1985" s="156">
        <v>0</v>
      </c>
      <c r="K1985" s="131">
        <f t="shared" si="143"/>
        <v>1106974.52</v>
      </c>
      <c r="L1985" s="134">
        <v>0.1792</v>
      </c>
    </row>
    <row r="1986" spans="3:12">
      <c r="C1986" s="161">
        <f t="shared" si="141"/>
        <v>2016</v>
      </c>
      <c r="D1986" s="35" t="s">
        <v>290</v>
      </c>
      <c r="E1986" s="227">
        <v>42644</v>
      </c>
      <c r="F1986" s="156">
        <v>189247.66</v>
      </c>
      <c r="G1986" s="131">
        <f t="shared" si="142"/>
        <v>33913.180672000002</v>
      </c>
      <c r="H1986" s="156">
        <v>99.94</v>
      </c>
      <c r="I1986" s="156">
        <v>392047.35</v>
      </c>
      <c r="J1986" s="156">
        <v>0</v>
      </c>
      <c r="K1986" s="131">
        <f t="shared" si="143"/>
        <v>392147.29</v>
      </c>
      <c r="L1986" s="134">
        <v>0.1792</v>
      </c>
    </row>
    <row r="1987" spans="3:12">
      <c r="C1987" s="161">
        <f t="shared" si="141"/>
        <v>2016</v>
      </c>
      <c r="D1987" s="35" t="s">
        <v>290</v>
      </c>
      <c r="E1987" s="227">
        <v>42675</v>
      </c>
      <c r="F1987" s="156">
        <v>191792.19</v>
      </c>
      <c r="G1987" s="131">
        <f t="shared" si="142"/>
        <v>34369.160448000002</v>
      </c>
      <c r="H1987" s="156">
        <v>0</v>
      </c>
      <c r="I1987" s="156">
        <v>501578.99</v>
      </c>
      <c r="J1987" s="156">
        <v>0</v>
      </c>
      <c r="K1987" s="131">
        <f t="shared" si="143"/>
        <v>501578.99</v>
      </c>
      <c r="L1987" s="134">
        <v>0.1792</v>
      </c>
    </row>
    <row r="1988" spans="3:12">
      <c r="C1988" s="161">
        <f t="shared" ref="C1988:C2051" si="144">YEAR(E1988)</f>
        <v>2016</v>
      </c>
      <c r="D1988" s="35" t="s">
        <v>290</v>
      </c>
      <c r="E1988" s="227">
        <v>42705</v>
      </c>
      <c r="F1988" s="156">
        <v>190022.94</v>
      </c>
      <c r="G1988" s="131">
        <f t="shared" ref="G1988:G2051" si="145">F1988*L1988</f>
        <v>34052.110847999997</v>
      </c>
      <c r="H1988" s="156">
        <v>13911.88</v>
      </c>
      <c r="I1988" s="156">
        <v>66030.720000000001</v>
      </c>
      <c r="J1988" s="156">
        <v>0</v>
      </c>
      <c r="K1988" s="131">
        <f t="shared" ref="K1988:K2051" si="146">SUM(H1988:J1988)</f>
        <v>79942.600000000006</v>
      </c>
      <c r="L1988" s="134">
        <v>0.1792</v>
      </c>
    </row>
    <row r="1989" spans="3:12">
      <c r="C1989" s="161">
        <f t="shared" si="144"/>
        <v>2017</v>
      </c>
      <c r="D1989" s="35" t="s">
        <v>290</v>
      </c>
      <c r="E1989" s="227">
        <v>42736</v>
      </c>
      <c r="F1989" s="156">
        <v>210890.26</v>
      </c>
      <c r="G1989" s="131">
        <f t="shared" si="145"/>
        <v>37791.534592000004</v>
      </c>
      <c r="H1989" s="156">
        <v>2944.44</v>
      </c>
      <c r="I1989" s="156">
        <v>667121.16</v>
      </c>
      <c r="J1989" s="156">
        <v>0</v>
      </c>
      <c r="K1989" s="131">
        <f t="shared" si="146"/>
        <v>670065.6</v>
      </c>
      <c r="L1989" s="134">
        <v>0.1792</v>
      </c>
    </row>
    <row r="1990" spans="3:12">
      <c r="C1990" s="161">
        <f t="shared" si="144"/>
        <v>2017</v>
      </c>
      <c r="D1990" s="35" t="s">
        <v>290</v>
      </c>
      <c r="E1990" s="227">
        <v>42767</v>
      </c>
      <c r="F1990" s="156">
        <v>201732.25</v>
      </c>
      <c r="G1990" s="131">
        <f t="shared" si="145"/>
        <v>36150.419199999997</v>
      </c>
      <c r="H1990" s="156">
        <v>6976.68</v>
      </c>
      <c r="I1990" s="156">
        <v>165623.75</v>
      </c>
      <c r="J1990" s="156">
        <v>184.2</v>
      </c>
      <c r="K1990" s="131">
        <f t="shared" si="146"/>
        <v>172784.63</v>
      </c>
      <c r="L1990" s="134">
        <v>0.1792</v>
      </c>
    </row>
    <row r="1991" spans="3:12">
      <c r="C1991" s="161">
        <f t="shared" si="144"/>
        <v>2017</v>
      </c>
      <c r="D1991" s="35" t="s">
        <v>290</v>
      </c>
      <c r="E1991" s="227">
        <v>42795</v>
      </c>
      <c r="F1991" s="156">
        <v>180302.17</v>
      </c>
      <c r="G1991" s="131">
        <f t="shared" si="145"/>
        <v>32310.148864000003</v>
      </c>
      <c r="H1991" s="156">
        <v>5026.9399999999996</v>
      </c>
      <c r="I1991" s="156">
        <v>0</v>
      </c>
      <c r="J1991" s="156">
        <v>1370.45</v>
      </c>
      <c r="K1991" s="131">
        <f t="shared" si="146"/>
        <v>6397.3899999999994</v>
      </c>
      <c r="L1991" s="134">
        <v>0.1792</v>
      </c>
    </row>
    <row r="1992" spans="3:12">
      <c r="C1992" s="161">
        <f t="shared" si="144"/>
        <v>2017</v>
      </c>
      <c r="D1992" s="35" t="s">
        <v>290</v>
      </c>
      <c r="E1992" s="227">
        <v>42826</v>
      </c>
      <c r="F1992" s="156">
        <v>182976.86</v>
      </c>
      <c r="G1992" s="131">
        <f t="shared" si="145"/>
        <v>32789.453311999998</v>
      </c>
      <c r="H1992" s="156">
        <v>3088.92</v>
      </c>
      <c r="I1992" s="156">
        <v>45137.38</v>
      </c>
      <c r="J1992" s="156">
        <v>0</v>
      </c>
      <c r="K1992" s="131">
        <f t="shared" si="146"/>
        <v>48226.299999999996</v>
      </c>
      <c r="L1992" s="134">
        <v>0.1792</v>
      </c>
    </row>
    <row r="1993" spans="3:12">
      <c r="C1993" s="161">
        <f t="shared" si="144"/>
        <v>2017</v>
      </c>
      <c r="D1993" s="35" t="s">
        <v>290</v>
      </c>
      <c r="E1993" s="227">
        <v>42856</v>
      </c>
      <c r="F1993" s="156">
        <v>174139.65</v>
      </c>
      <c r="G1993" s="131">
        <f t="shared" si="145"/>
        <v>31205.825279999997</v>
      </c>
      <c r="H1993" s="156">
        <v>1998.29</v>
      </c>
      <c r="I1993" s="156">
        <v>0</v>
      </c>
      <c r="J1993" s="156">
        <v>0</v>
      </c>
      <c r="K1993" s="131">
        <f t="shared" si="146"/>
        <v>1998.29</v>
      </c>
      <c r="L1993" s="134">
        <v>0.1792</v>
      </c>
    </row>
    <row r="1994" spans="3:12">
      <c r="C1994" s="161">
        <f t="shared" si="144"/>
        <v>2017</v>
      </c>
      <c r="D1994" s="35" t="s">
        <v>290</v>
      </c>
      <c r="E1994" s="227">
        <v>42887</v>
      </c>
      <c r="F1994" s="156">
        <v>168304.14</v>
      </c>
      <c r="G1994" s="131">
        <f t="shared" si="145"/>
        <v>30160.101888000001</v>
      </c>
      <c r="H1994" s="156">
        <v>1240.06</v>
      </c>
      <c r="I1994" s="156">
        <v>42954.61</v>
      </c>
      <c r="J1994" s="156">
        <v>0</v>
      </c>
      <c r="K1994" s="131">
        <f t="shared" si="146"/>
        <v>44194.67</v>
      </c>
      <c r="L1994" s="134">
        <v>0.1792</v>
      </c>
    </row>
    <row r="1995" spans="3:12">
      <c r="C1995" s="161">
        <f t="shared" si="144"/>
        <v>2017</v>
      </c>
      <c r="D1995" s="35" t="s">
        <v>290</v>
      </c>
      <c r="E1995" s="227">
        <v>42917</v>
      </c>
      <c r="F1995" s="156">
        <v>175349.25</v>
      </c>
      <c r="G1995" s="131">
        <f t="shared" si="145"/>
        <v>31422.585599999999</v>
      </c>
      <c r="H1995" s="156">
        <v>1593.31</v>
      </c>
      <c r="I1995" s="156">
        <v>0</v>
      </c>
      <c r="J1995" s="156">
        <v>0</v>
      </c>
      <c r="K1995" s="131">
        <f t="shared" si="146"/>
        <v>1593.31</v>
      </c>
      <c r="L1995" s="134">
        <v>0.1792</v>
      </c>
    </row>
    <row r="1996" spans="3:12">
      <c r="C1996" s="161">
        <f t="shared" si="144"/>
        <v>2017</v>
      </c>
      <c r="D1996" s="35" t="s">
        <v>290</v>
      </c>
      <c r="E1996" s="227">
        <v>42948</v>
      </c>
      <c r="F1996" s="156">
        <v>201749.99</v>
      </c>
      <c r="G1996" s="131">
        <f t="shared" si="145"/>
        <v>36153.598207999996</v>
      </c>
      <c r="H1996" s="156">
        <v>871.23</v>
      </c>
      <c r="I1996" s="156">
        <v>0</v>
      </c>
      <c r="J1996" s="156">
        <v>1131.3</v>
      </c>
      <c r="K1996" s="131">
        <f t="shared" si="146"/>
        <v>2002.53</v>
      </c>
      <c r="L1996" s="134">
        <v>0.1792</v>
      </c>
    </row>
    <row r="1997" spans="3:12">
      <c r="C1997" s="161">
        <f t="shared" si="144"/>
        <v>2017</v>
      </c>
      <c r="D1997" s="35" t="s">
        <v>290</v>
      </c>
      <c r="E1997" s="227">
        <v>42979</v>
      </c>
      <c r="F1997" s="156">
        <v>214445.89</v>
      </c>
      <c r="G1997" s="131">
        <f t="shared" si="145"/>
        <v>38428.703487999999</v>
      </c>
      <c r="H1997" s="156">
        <v>1304.22</v>
      </c>
      <c r="I1997" s="156">
        <v>1585.48</v>
      </c>
      <c r="J1997" s="156">
        <v>0</v>
      </c>
      <c r="K1997" s="131">
        <f t="shared" si="146"/>
        <v>2889.7</v>
      </c>
      <c r="L1997" s="134">
        <v>0.1792</v>
      </c>
    </row>
    <row r="1998" spans="3:12">
      <c r="C1998" s="161">
        <f t="shared" si="144"/>
        <v>2017</v>
      </c>
      <c r="D1998" s="35" t="s">
        <v>290</v>
      </c>
      <c r="E1998" s="227">
        <v>43009</v>
      </c>
      <c r="F1998" s="156">
        <v>206786.99</v>
      </c>
      <c r="G1998" s="131">
        <f t="shared" si="145"/>
        <v>37056.228607999998</v>
      </c>
      <c r="H1998" s="156">
        <v>31985</v>
      </c>
      <c r="I1998" s="156">
        <v>2529.39</v>
      </c>
      <c r="J1998" s="156">
        <v>0</v>
      </c>
      <c r="K1998" s="131">
        <f t="shared" si="146"/>
        <v>34514.39</v>
      </c>
      <c r="L1998" s="134">
        <v>0.1792</v>
      </c>
    </row>
    <row r="1999" spans="3:12">
      <c r="C1999" s="161">
        <f t="shared" si="144"/>
        <v>2017</v>
      </c>
      <c r="D1999" s="35" t="s">
        <v>290</v>
      </c>
      <c r="E1999" s="227">
        <v>43040</v>
      </c>
      <c r="F1999" s="156">
        <v>206336.68</v>
      </c>
      <c r="G1999" s="131">
        <f t="shared" si="145"/>
        <v>36975.533056</v>
      </c>
      <c r="H1999" s="156">
        <v>21119.02</v>
      </c>
      <c r="I1999" s="156">
        <v>2318.7600000000002</v>
      </c>
      <c r="J1999" s="156">
        <v>0</v>
      </c>
      <c r="K1999" s="131">
        <f t="shared" si="146"/>
        <v>23437.78</v>
      </c>
      <c r="L1999" s="134">
        <v>0.1792</v>
      </c>
    </row>
    <row r="2000" spans="3:12">
      <c r="C2000" s="161">
        <f t="shared" si="144"/>
        <v>2017</v>
      </c>
      <c r="D2000" s="35" t="s">
        <v>290</v>
      </c>
      <c r="E2000" s="227">
        <v>43070</v>
      </c>
      <c r="F2000" s="156">
        <v>192770.4</v>
      </c>
      <c r="G2000" s="131">
        <f t="shared" si="145"/>
        <v>34544.455679999999</v>
      </c>
      <c r="H2000" s="156">
        <v>121.35</v>
      </c>
      <c r="I2000" s="156">
        <v>2411.13</v>
      </c>
      <c r="J2000" s="156">
        <v>0</v>
      </c>
      <c r="K2000" s="131">
        <f t="shared" si="146"/>
        <v>2532.48</v>
      </c>
      <c r="L2000" s="134">
        <v>0.1792</v>
      </c>
    </row>
    <row r="2001" spans="3:12">
      <c r="C2001" s="161">
        <f t="shared" si="144"/>
        <v>2018</v>
      </c>
      <c r="D2001" s="35" t="s">
        <v>290</v>
      </c>
      <c r="E2001" s="227">
        <v>43101</v>
      </c>
      <c r="F2001" s="156">
        <v>198929.71</v>
      </c>
      <c r="G2001" s="131">
        <f t="shared" si="145"/>
        <v>35648.204032000001</v>
      </c>
      <c r="H2001" s="156">
        <v>915.2</v>
      </c>
      <c r="I2001" s="156">
        <v>1768.13</v>
      </c>
      <c r="J2001" s="156">
        <v>0</v>
      </c>
      <c r="K2001" s="131">
        <f t="shared" si="146"/>
        <v>2683.33</v>
      </c>
      <c r="L2001" s="134">
        <v>0.1792</v>
      </c>
    </row>
    <row r="2002" spans="3:12">
      <c r="C2002" s="161">
        <f t="shared" si="144"/>
        <v>2018</v>
      </c>
      <c r="D2002" s="35" t="s">
        <v>290</v>
      </c>
      <c r="E2002" s="227">
        <v>43132</v>
      </c>
      <c r="F2002" s="156">
        <v>199782.89</v>
      </c>
      <c r="G2002" s="131">
        <f t="shared" si="145"/>
        <v>35801.093888000003</v>
      </c>
      <c r="H2002" s="156">
        <v>1045.51</v>
      </c>
      <c r="I2002" s="156">
        <v>1490.75</v>
      </c>
      <c r="J2002" s="156">
        <v>0</v>
      </c>
      <c r="K2002" s="131">
        <f t="shared" si="146"/>
        <v>2536.2600000000002</v>
      </c>
      <c r="L2002" s="134">
        <v>0.1792</v>
      </c>
    </row>
    <row r="2003" spans="3:12">
      <c r="C2003" s="161">
        <f t="shared" si="144"/>
        <v>2018</v>
      </c>
      <c r="D2003" s="35" t="s">
        <v>290</v>
      </c>
      <c r="E2003" s="227">
        <v>43160</v>
      </c>
      <c r="F2003" s="156">
        <v>186728.13</v>
      </c>
      <c r="G2003" s="131">
        <f t="shared" si="145"/>
        <v>33461.680895999998</v>
      </c>
      <c r="H2003" s="156">
        <v>1419.5</v>
      </c>
      <c r="I2003" s="156">
        <v>856.36</v>
      </c>
      <c r="J2003" s="156">
        <v>0</v>
      </c>
      <c r="K2003" s="131">
        <f t="shared" si="146"/>
        <v>2275.86</v>
      </c>
      <c r="L2003" s="134">
        <v>0.1792</v>
      </c>
    </row>
    <row r="2004" spans="3:12">
      <c r="C2004" s="161">
        <f t="shared" si="144"/>
        <v>2018</v>
      </c>
      <c r="D2004" s="35" t="s">
        <v>290</v>
      </c>
      <c r="E2004" s="227">
        <v>43191</v>
      </c>
      <c r="F2004" s="156">
        <v>209739.33</v>
      </c>
      <c r="G2004" s="131">
        <f t="shared" si="145"/>
        <v>37585.287936000001</v>
      </c>
      <c r="H2004" s="156">
        <v>746.97</v>
      </c>
      <c r="I2004" s="156">
        <v>7604.04</v>
      </c>
      <c r="J2004" s="156">
        <v>0</v>
      </c>
      <c r="K2004" s="131">
        <f t="shared" si="146"/>
        <v>8351.01</v>
      </c>
      <c r="L2004" s="134">
        <v>0.1792</v>
      </c>
    </row>
    <row r="2005" spans="3:12">
      <c r="C2005" s="161">
        <f t="shared" si="144"/>
        <v>2018</v>
      </c>
      <c r="D2005" s="35" t="s">
        <v>290</v>
      </c>
      <c r="E2005" s="227">
        <v>43221</v>
      </c>
      <c r="F2005" s="156">
        <v>201495.99</v>
      </c>
      <c r="G2005" s="131">
        <f t="shared" si="145"/>
        <v>36108.081407999998</v>
      </c>
      <c r="H2005" s="156">
        <v>666.97</v>
      </c>
      <c r="I2005" s="156">
        <v>3936.97</v>
      </c>
      <c r="J2005" s="156">
        <v>0</v>
      </c>
      <c r="K2005" s="131">
        <f t="shared" si="146"/>
        <v>4603.9399999999996</v>
      </c>
      <c r="L2005" s="134">
        <v>0.1792</v>
      </c>
    </row>
    <row r="2006" spans="3:12">
      <c r="C2006" s="161">
        <f t="shared" si="144"/>
        <v>2018</v>
      </c>
      <c r="D2006" s="35" t="s">
        <v>290</v>
      </c>
      <c r="E2006" s="227">
        <v>43252</v>
      </c>
      <c r="F2006" s="156">
        <v>188696.71</v>
      </c>
      <c r="G2006" s="131">
        <f t="shared" si="145"/>
        <v>33814.450431999998</v>
      </c>
      <c r="H2006" s="156">
        <v>2431.2199999999998</v>
      </c>
      <c r="I2006" s="156">
        <v>5273.11</v>
      </c>
      <c r="J2006" s="156">
        <v>0</v>
      </c>
      <c r="K2006" s="131">
        <f t="shared" si="146"/>
        <v>7704.33</v>
      </c>
      <c r="L2006" s="134">
        <v>0.1792</v>
      </c>
    </row>
    <row r="2007" spans="3:12">
      <c r="C2007" s="161">
        <f t="shared" si="144"/>
        <v>2018</v>
      </c>
      <c r="D2007" s="35" t="s">
        <v>290</v>
      </c>
      <c r="E2007" s="227">
        <v>43282</v>
      </c>
      <c r="F2007" s="156">
        <v>190880.62</v>
      </c>
      <c r="G2007" s="131">
        <f t="shared" si="145"/>
        <v>34205.807104</v>
      </c>
      <c r="H2007" s="156">
        <v>1175.3699999999999</v>
      </c>
      <c r="I2007" s="156">
        <v>4865.84</v>
      </c>
      <c r="J2007" s="156">
        <v>1200</v>
      </c>
      <c r="K2007" s="131">
        <f t="shared" si="146"/>
        <v>7241.21</v>
      </c>
      <c r="L2007" s="134">
        <v>0.1792</v>
      </c>
    </row>
    <row r="2008" spans="3:12">
      <c r="C2008" s="161">
        <f t="shared" si="144"/>
        <v>2018</v>
      </c>
      <c r="D2008" s="35" t="s">
        <v>290</v>
      </c>
      <c r="E2008" s="227">
        <v>43313</v>
      </c>
      <c r="F2008" s="156">
        <v>197768.89</v>
      </c>
      <c r="G2008" s="131">
        <f t="shared" si="145"/>
        <v>35440.185088000006</v>
      </c>
      <c r="H2008" s="156">
        <v>831.33</v>
      </c>
      <c r="I2008" s="156">
        <v>5227.87</v>
      </c>
      <c r="J2008" s="156">
        <v>0</v>
      </c>
      <c r="K2008" s="131">
        <f t="shared" si="146"/>
        <v>6059.2</v>
      </c>
      <c r="L2008" s="134">
        <v>0.1792</v>
      </c>
    </row>
    <row r="2009" spans="3:12">
      <c r="C2009" s="161">
        <f t="shared" si="144"/>
        <v>2018</v>
      </c>
      <c r="D2009" s="35" t="s">
        <v>290</v>
      </c>
      <c r="E2009" s="227">
        <v>43344</v>
      </c>
      <c r="F2009" s="156">
        <v>204178.45</v>
      </c>
      <c r="G2009" s="131">
        <f t="shared" si="145"/>
        <v>36588.77824</v>
      </c>
      <c r="H2009" s="156">
        <v>36742.410000000003</v>
      </c>
      <c r="I2009" s="156">
        <v>0</v>
      </c>
      <c r="J2009" s="156">
        <v>379.18</v>
      </c>
      <c r="K2009" s="131">
        <f t="shared" si="146"/>
        <v>37121.590000000004</v>
      </c>
      <c r="L2009" s="134">
        <v>0.1792</v>
      </c>
    </row>
    <row r="2010" spans="3:12">
      <c r="C2010" s="161">
        <f t="shared" si="144"/>
        <v>2018</v>
      </c>
      <c r="D2010" s="35" t="s">
        <v>290</v>
      </c>
      <c r="E2010" s="227">
        <v>43374</v>
      </c>
      <c r="F2010" s="156">
        <v>212261.73</v>
      </c>
      <c r="G2010" s="131">
        <f t="shared" si="145"/>
        <v>38037.302016000001</v>
      </c>
      <c r="H2010" s="156">
        <v>1064.27</v>
      </c>
      <c r="I2010" s="156">
        <v>1491.93</v>
      </c>
      <c r="J2010" s="156">
        <v>0</v>
      </c>
      <c r="K2010" s="131">
        <f t="shared" si="146"/>
        <v>2556.1999999999998</v>
      </c>
      <c r="L2010" s="134">
        <v>0.1792</v>
      </c>
    </row>
    <row r="2011" spans="3:12">
      <c r="C2011" s="161">
        <f t="shared" si="144"/>
        <v>2018</v>
      </c>
      <c r="D2011" s="35" t="s">
        <v>290</v>
      </c>
      <c r="E2011" s="227">
        <v>43405</v>
      </c>
      <c r="F2011" s="156">
        <v>212234.97404999999</v>
      </c>
      <c r="G2011" s="131">
        <f t="shared" si="145"/>
        <v>38032.507349759995</v>
      </c>
      <c r="H2011" s="156">
        <v>839.93</v>
      </c>
      <c r="I2011" s="156">
        <v>769.91</v>
      </c>
      <c r="J2011" s="156">
        <v>0</v>
      </c>
      <c r="K2011" s="131">
        <f t="shared" si="146"/>
        <v>1609.84</v>
      </c>
      <c r="L2011" s="134">
        <v>0.1792</v>
      </c>
    </row>
    <row r="2012" spans="3:12">
      <c r="C2012" s="161">
        <f t="shared" si="144"/>
        <v>2018</v>
      </c>
      <c r="D2012" s="35" t="s">
        <v>290</v>
      </c>
      <c r="E2012" s="227">
        <v>43435</v>
      </c>
      <c r="F2012" s="156">
        <v>224113.34</v>
      </c>
      <c r="G2012" s="131">
        <f t="shared" si="145"/>
        <v>40161.110527999997</v>
      </c>
      <c r="H2012" s="156">
        <v>21469.46</v>
      </c>
      <c r="I2012" s="156">
        <v>26.86</v>
      </c>
      <c r="J2012" s="156">
        <v>0</v>
      </c>
      <c r="K2012" s="131">
        <f t="shared" si="146"/>
        <v>21496.32</v>
      </c>
      <c r="L2012" s="134">
        <v>0.1792</v>
      </c>
    </row>
    <row r="2013" spans="3:12">
      <c r="C2013" s="161">
        <f t="shared" si="144"/>
        <v>2019</v>
      </c>
      <c r="D2013" s="35" t="s">
        <v>290</v>
      </c>
      <c r="E2013" s="227">
        <v>43466</v>
      </c>
      <c r="F2013" s="156">
        <v>234969.55</v>
      </c>
      <c r="G2013" s="131">
        <f t="shared" si="145"/>
        <v>42106.543359999996</v>
      </c>
      <c r="H2013" s="156">
        <v>25915.13</v>
      </c>
      <c r="I2013" s="156">
        <v>255225.89</v>
      </c>
      <c r="J2013" s="156">
        <v>472.09</v>
      </c>
      <c r="K2013" s="131">
        <f t="shared" si="146"/>
        <v>281613.11000000004</v>
      </c>
      <c r="L2013" s="134">
        <v>0.1792</v>
      </c>
    </row>
    <row r="2014" spans="3:12">
      <c r="C2014" s="161">
        <f t="shared" si="144"/>
        <v>2019</v>
      </c>
      <c r="D2014" s="35" t="s">
        <v>290</v>
      </c>
      <c r="E2014" s="227">
        <v>43497</v>
      </c>
      <c r="F2014" s="156">
        <v>236675.88</v>
      </c>
      <c r="G2014" s="131">
        <f t="shared" si="145"/>
        <v>42412.317695999998</v>
      </c>
      <c r="H2014" s="156">
        <v>4786.22</v>
      </c>
      <c r="I2014" s="156">
        <v>218271.7</v>
      </c>
      <c r="J2014" s="156">
        <v>2014.59</v>
      </c>
      <c r="K2014" s="131">
        <f t="shared" si="146"/>
        <v>225072.51</v>
      </c>
      <c r="L2014" s="134">
        <v>0.1792</v>
      </c>
    </row>
    <row r="2015" spans="3:12">
      <c r="C2015" s="161">
        <f t="shared" si="144"/>
        <v>2019</v>
      </c>
      <c r="D2015" s="35" t="s">
        <v>290</v>
      </c>
      <c r="E2015" s="227">
        <v>43525</v>
      </c>
      <c r="F2015" s="156">
        <v>215146.49</v>
      </c>
      <c r="G2015" s="131">
        <f t="shared" si="145"/>
        <v>38554.251007999999</v>
      </c>
      <c r="H2015" s="156">
        <v>888.45</v>
      </c>
      <c r="I2015" s="156">
        <v>829532.62</v>
      </c>
      <c r="J2015" s="156">
        <v>0</v>
      </c>
      <c r="K2015" s="131">
        <f t="shared" si="146"/>
        <v>830421.07</v>
      </c>
      <c r="L2015" s="134">
        <v>0.1792</v>
      </c>
    </row>
    <row r="2016" spans="3:12">
      <c r="C2016" s="161">
        <f t="shared" si="144"/>
        <v>2019</v>
      </c>
      <c r="D2016" s="35" t="s">
        <v>290</v>
      </c>
      <c r="E2016" s="227">
        <v>43556</v>
      </c>
      <c r="F2016" s="156">
        <v>224654.94</v>
      </c>
      <c r="G2016" s="131">
        <f t="shared" si="145"/>
        <v>40258.165247999998</v>
      </c>
      <c r="H2016" s="156">
        <v>1460.48</v>
      </c>
      <c r="I2016" s="156">
        <v>90340.55</v>
      </c>
      <c r="J2016" s="156">
        <v>0</v>
      </c>
      <c r="K2016" s="131">
        <f t="shared" si="146"/>
        <v>91801.03</v>
      </c>
      <c r="L2016" s="134">
        <v>0.1792</v>
      </c>
    </row>
    <row r="2017" spans="3:12">
      <c r="C2017" s="161">
        <f t="shared" si="144"/>
        <v>2019</v>
      </c>
      <c r="D2017" s="35" t="s">
        <v>290</v>
      </c>
      <c r="E2017" s="227">
        <v>43586</v>
      </c>
      <c r="F2017" s="156">
        <v>217277.74</v>
      </c>
      <c r="G2017" s="131">
        <f t="shared" si="145"/>
        <v>38936.171007999998</v>
      </c>
      <c r="H2017" s="156">
        <v>2690.57</v>
      </c>
      <c r="I2017" s="156">
        <v>404295.45</v>
      </c>
      <c r="J2017" s="156">
        <v>0</v>
      </c>
      <c r="K2017" s="131">
        <f t="shared" si="146"/>
        <v>406986.02</v>
      </c>
      <c r="L2017" s="134">
        <v>0.1792</v>
      </c>
    </row>
    <row r="2018" spans="3:12">
      <c r="C2018" s="161">
        <f t="shared" si="144"/>
        <v>2019</v>
      </c>
      <c r="D2018" s="35" t="s">
        <v>290</v>
      </c>
      <c r="E2018" s="227">
        <v>43617</v>
      </c>
      <c r="F2018" s="156">
        <v>224613.47</v>
      </c>
      <c r="G2018" s="131">
        <f t="shared" si="145"/>
        <v>40250.733824000003</v>
      </c>
      <c r="H2018" s="156">
        <v>2569.7399999999998</v>
      </c>
      <c r="I2018" s="156">
        <v>274228.24</v>
      </c>
      <c r="J2018" s="156">
        <v>0</v>
      </c>
      <c r="K2018" s="131">
        <f t="shared" si="146"/>
        <v>276797.98</v>
      </c>
      <c r="L2018" s="134">
        <v>0.1792</v>
      </c>
    </row>
    <row r="2019" spans="3:12">
      <c r="C2019" s="161">
        <f t="shared" si="144"/>
        <v>2019</v>
      </c>
      <c r="D2019" s="35" t="s">
        <v>290</v>
      </c>
      <c r="E2019" s="227">
        <v>43647</v>
      </c>
      <c r="F2019" s="156">
        <v>227420.52</v>
      </c>
      <c r="G2019" s="131">
        <f t="shared" si="145"/>
        <v>40753.757183999995</v>
      </c>
      <c r="H2019" s="156">
        <v>6723.73</v>
      </c>
      <c r="I2019" s="156">
        <v>76988.94</v>
      </c>
      <c r="J2019" s="156">
        <v>1816.3</v>
      </c>
      <c r="K2019" s="131">
        <f t="shared" si="146"/>
        <v>85528.97</v>
      </c>
      <c r="L2019" s="134">
        <v>0.1792</v>
      </c>
    </row>
    <row r="2020" spans="3:12">
      <c r="C2020" s="161">
        <f t="shared" si="144"/>
        <v>2019</v>
      </c>
      <c r="D2020" s="35" t="s">
        <v>290</v>
      </c>
      <c r="E2020" s="227">
        <v>43678</v>
      </c>
      <c r="F2020" s="156">
        <v>221068.32</v>
      </c>
      <c r="G2020" s="131">
        <f t="shared" si="145"/>
        <v>39615.442944000002</v>
      </c>
      <c r="H2020" s="156">
        <v>959.44</v>
      </c>
      <c r="I2020" s="156">
        <v>16601.2</v>
      </c>
      <c r="J2020" s="156">
        <v>0</v>
      </c>
      <c r="K2020" s="131">
        <f t="shared" si="146"/>
        <v>17560.64</v>
      </c>
      <c r="L2020" s="134">
        <v>0.1792</v>
      </c>
    </row>
    <row r="2021" spans="3:12">
      <c r="C2021" s="161">
        <f t="shared" si="144"/>
        <v>2019</v>
      </c>
      <c r="D2021" s="35" t="s">
        <v>290</v>
      </c>
      <c r="E2021" s="227">
        <v>43709</v>
      </c>
      <c r="F2021" s="156">
        <v>257022.46</v>
      </c>
      <c r="G2021" s="131">
        <f t="shared" si="145"/>
        <v>46058.424831999997</v>
      </c>
      <c r="H2021" s="156">
        <v>12767.13</v>
      </c>
      <c r="I2021" s="156">
        <v>22731.81</v>
      </c>
      <c r="J2021" s="156">
        <v>0</v>
      </c>
      <c r="K2021" s="131">
        <f t="shared" si="146"/>
        <v>35498.94</v>
      </c>
      <c r="L2021" s="134">
        <v>0.1792</v>
      </c>
    </row>
    <row r="2022" spans="3:12">
      <c r="C2022" s="161">
        <f t="shared" si="144"/>
        <v>2019</v>
      </c>
      <c r="D2022" s="35" t="s">
        <v>290</v>
      </c>
      <c r="E2022" s="227">
        <v>43739</v>
      </c>
      <c r="F2022" s="156">
        <v>250881.92000000001</v>
      </c>
      <c r="G2022" s="131">
        <f t="shared" si="145"/>
        <v>44958.040064000001</v>
      </c>
      <c r="H2022" s="156">
        <v>1095.51</v>
      </c>
      <c r="I2022" s="156">
        <v>23542.5</v>
      </c>
      <c r="J2022" s="156">
        <v>0</v>
      </c>
      <c r="K2022" s="131">
        <f t="shared" si="146"/>
        <v>24638.01</v>
      </c>
      <c r="L2022" s="134">
        <v>0.1792</v>
      </c>
    </row>
    <row r="2023" spans="3:12">
      <c r="C2023" s="161">
        <f t="shared" si="144"/>
        <v>2019</v>
      </c>
      <c r="D2023" s="35" t="s">
        <v>290</v>
      </c>
      <c r="E2023" s="227">
        <v>43770</v>
      </c>
      <c r="F2023" s="156">
        <v>267945.53000000003</v>
      </c>
      <c r="G2023" s="131">
        <f t="shared" si="145"/>
        <v>48015.838976000006</v>
      </c>
      <c r="H2023" s="156">
        <v>406.5</v>
      </c>
      <c r="I2023" s="156">
        <v>22110.27</v>
      </c>
      <c r="J2023" s="156">
        <v>0</v>
      </c>
      <c r="K2023" s="131">
        <f t="shared" si="146"/>
        <v>22516.77</v>
      </c>
      <c r="L2023" s="134">
        <v>0.1792</v>
      </c>
    </row>
    <row r="2024" spans="3:12">
      <c r="C2024" s="161">
        <f t="shared" si="144"/>
        <v>2019</v>
      </c>
      <c r="D2024" s="35" t="s">
        <v>290</v>
      </c>
      <c r="E2024" s="227">
        <v>43800</v>
      </c>
      <c r="F2024" s="156">
        <v>252683.55</v>
      </c>
      <c r="G2024" s="131">
        <f t="shared" si="145"/>
        <v>45280.892159999996</v>
      </c>
      <c r="H2024" s="156">
        <v>430.83</v>
      </c>
      <c r="I2024" s="156">
        <v>15903.47</v>
      </c>
      <c r="J2024" s="156">
        <v>0</v>
      </c>
      <c r="K2024" s="131">
        <f t="shared" si="146"/>
        <v>16334.3</v>
      </c>
      <c r="L2024" s="134">
        <v>0.1792</v>
      </c>
    </row>
    <row r="2025" spans="3:12">
      <c r="C2025" s="161">
        <f t="shared" si="144"/>
        <v>2020</v>
      </c>
      <c r="D2025" s="35" t="s">
        <v>290</v>
      </c>
      <c r="E2025" s="227">
        <v>43831</v>
      </c>
      <c r="F2025" s="156">
        <v>252876.25</v>
      </c>
      <c r="G2025" s="131">
        <f t="shared" si="145"/>
        <v>45315.423999999999</v>
      </c>
      <c r="H2025" s="156">
        <v>1473.73</v>
      </c>
      <c r="I2025" s="156">
        <v>17381.14</v>
      </c>
      <c r="J2025" s="156">
        <v>0</v>
      </c>
      <c r="K2025" s="131">
        <f t="shared" si="146"/>
        <v>18854.87</v>
      </c>
      <c r="L2025" s="134">
        <v>0.1792</v>
      </c>
    </row>
    <row r="2026" spans="3:12">
      <c r="C2026" s="161">
        <f t="shared" si="144"/>
        <v>2020</v>
      </c>
      <c r="D2026" s="35" t="s">
        <v>290</v>
      </c>
      <c r="E2026" s="227">
        <v>43862</v>
      </c>
      <c r="F2026" s="156">
        <v>239947.76</v>
      </c>
      <c r="G2026" s="131">
        <f t="shared" si="145"/>
        <v>42998.638592000003</v>
      </c>
      <c r="H2026" s="156">
        <v>919.77</v>
      </c>
      <c r="I2026" s="156">
        <v>14432.94</v>
      </c>
      <c r="J2026" s="156">
        <v>0</v>
      </c>
      <c r="K2026" s="131">
        <f t="shared" si="146"/>
        <v>15352.710000000001</v>
      </c>
      <c r="L2026" s="134">
        <v>0.1792</v>
      </c>
    </row>
    <row r="2027" spans="3:12">
      <c r="C2027" s="161">
        <f t="shared" si="144"/>
        <v>2020</v>
      </c>
      <c r="D2027" s="35" t="s">
        <v>290</v>
      </c>
      <c r="E2027" s="227">
        <v>43891</v>
      </c>
      <c r="F2027" s="156">
        <v>241777.58385</v>
      </c>
      <c r="G2027" s="131">
        <f t="shared" si="145"/>
        <v>43326.54302592</v>
      </c>
      <c r="H2027" s="156">
        <v>2386.98</v>
      </c>
      <c r="I2027" s="156">
        <v>17829.189999999999</v>
      </c>
      <c r="J2027" s="156">
        <v>0</v>
      </c>
      <c r="K2027" s="131">
        <f t="shared" si="146"/>
        <v>20216.169999999998</v>
      </c>
      <c r="L2027" s="134">
        <v>0.1792</v>
      </c>
    </row>
    <row r="2028" spans="3:12">
      <c r="C2028" s="161">
        <f t="shared" si="144"/>
        <v>2020</v>
      </c>
      <c r="D2028" s="35" t="s">
        <v>290</v>
      </c>
      <c r="E2028" s="227">
        <v>43922</v>
      </c>
      <c r="F2028" s="156">
        <v>248860.89360000001</v>
      </c>
      <c r="G2028" s="131">
        <f t="shared" si="145"/>
        <v>44595.872133119999</v>
      </c>
      <c r="H2028" s="156">
        <v>4404.7</v>
      </c>
      <c r="I2028" s="156">
        <v>213302.95</v>
      </c>
      <c r="J2028" s="156">
        <v>0</v>
      </c>
      <c r="K2028" s="131">
        <f t="shared" si="146"/>
        <v>217707.65000000002</v>
      </c>
      <c r="L2028" s="134">
        <v>0.1792</v>
      </c>
    </row>
    <row r="2029" spans="3:12">
      <c r="C2029" s="161">
        <f t="shared" si="144"/>
        <v>2020</v>
      </c>
      <c r="D2029" s="35" t="s">
        <v>290</v>
      </c>
      <c r="E2029" s="227">
        <v>43952</v>
      </c>
      <c r="F2029" s="156">
        <v>228849.77</v>
      </c>
      <c r="G2029" s="131">
        <f t="shared" si="145"/>
        <v>41009.878784</v>
      </c>
      <c r="H2029" s="156">
        <v>3530.62</v>
      </c>
      <c r="I2029" s="156">
        <v>243644.15</v>
      </c>
      <c r="J2029" s="156">
        <v>0</v>
      </c>
      <c r="K2029" s="131">
        <f t="shared" si="146"/>
        <v>247174.77</v>
      </c>
      <c r="L2029" s="134">
        <v>0.1792</v>
      </c>
    </row>
    <row r="2030" spans="3:12">
      <c r="C2030" s="161">
        <f t="shared" si="144"/>
        <v>2020</v>
      </c>
      <c r="D2030" s="35" t="s">
        <v>290</v>
      </c>
      <c r="E2030" s="227">
        <v>43983</v>
      </c>
      <c r="F2030" s="156">
        <v>226338.89</v>
      </c>
      <c r="G2030" s="131">
        <f t="shared" si="145"/>
        <v>40559.929088000004</v>
      </c>
      <c r="H2030" s="156">
        <v>2969.79</v>
      </c>
      <c r="I2030" s="156">
        <v>346188.71</v>
      </c>
      <c r="J2030" s="156">
        <v>0</v>
      </c>
      <c r="K2030" s="131">
        <f t="shared" si="146"/>
        <v>349158.5</v>
      </c>
      <c r="L2030" s="134">
        <v>0.1792</v>
      </c>
    </row>
    <row r="2031" spans="3:12">
      <c r="C2031" s="161">
        <f t="shared" si="144"/>
        <v>2020</v>
      </c>
      <c r="D2031" s="35" t="s">
        <v>290</v>
      </c>
      <c r="E2031" s="227">
        <v>44013</v>
      </c>
      <c r="F2031" s="156">
        <v>218598.38</v>
      </c>
      <c r="G2031" s="131">
        <f t="shared" si="145"/>
        <v>39172.829696000001</v>
      </c>
      <c r="H2031" s="156">
        <v>58390.6</v>
      </c>
      <c r="I2031" s="156">
        <v>304670.27</v>
      </c>
      <c r="J2031" s="156">
        <v>0</v>
      </c>
      <c r="K2031" s="131">
        <f t="shared" si="146"/>
        <v>363060.87</v>
      </c>
      <c r="L2031" s="134">
        <v>0.1792</v>
      </c>
    </row>
    <row r="2032" spans="3:12">
      <c r="C2032" s="161">
        <f t="shared" si="144"/>
        <v>2020</v>
      </c>
      <c r="D2032" s="35" t="s">
        <v>290</v>
      </c>
      <c r="E2032" s="227">
        <v>44044</v>
      </c>
      <c r="F2032" s="156">
        <v>234695.58</v>
      </c>
      <c r="G2032" s="131">
        <f t="shared" si="145"/>
        <v>42057.447935999997</v>
      </c>
      <c r="H2032" s="156">
        <v>6728.83</v>
      </c>
      <c r="I2032" s="156">
        <v>299832.86</v>
      </c>
      <c r="J2032" s="156">
        <v>364.67</v>
      </c>
      <c r="K2032" s="131">
        <f t="shared" si="146"/>
        <v>306926.36</v>
      </c>
      <c r="L2032" s="134">
        <v>0.1792</v>
      </c>
    </row>
    <row r="2033" spans="3:12">
      <c r="C2033" s="161">
        <f t="shared" si="144"/>
        <v>2020</v>
      </c>
      <c r="D2033" s="35" t="s">
        <v>290</v>
      </c>
      <c r="E2033" s="227">
        <v>44075</v>
      </c>
      <c r="F2033" s="156">
        <v>258137.66</v>
      </c>
      <c r="G2033" s="131">
        <f t="shared" si="145"/>
        <v>46258.268671999998</v>
      </c>
      <c r="H2033" s="156">
        <v>1778.06</v>
      </c>
      <c r="I2033" s="156">
        <v>185299.8</v>
      </c>
      <c r="J2033" s="156">
        <v>0</v>
      </c>
      <c r="K2033" s="131">
        <f t="shared" si="146"/>
        <v>187077.86</v>
      </c>
      <c r="L2033" s="134">
        <v>0.1792</v>
      </c>
    </row>
    <row r="2034" spans="3:12">
      <c r="C2034" s="161">
        <f t="shared" si="144"/>
        <v>2020</v>
      </c>
      <c r="D2034" s="35" t="s">
        <v>290</v>
      </c>
      <c r="E2034" s="227">
        <v>44105</v>
      </c>
      <c r="F2034" s="156">
        <v>273488.68</v>
      </c>
      <c r="G2034" s="131">
        <f t="shared" si="145"/>
        <v>49009.171455999996</v>
      </c>
      <c r="H2034" s="156">
        <v>1887.68</v>
      </c>
      <c r="I2034" s="156">
        <v>388745.47</v>
      </c>
      <c r="J2034" s="156">
        <v>0</v>
      </c>
      <c r="K2034" s="131">
        <f t="shared" si="146"/>
        <v>390633.14999999997</v>
      </c>
      <c r="L2034" s="134">
        <v>0.1792</v>
      </c>
    </row>
    <row r="2035" spans="3:12">
      <c r="C2035" s="161">
        <f t="shared" si="144"/>
        <v>2020</v>
      </c>
      <c r="D2035" s="35" t="s">
        <v>290</v>
      </c>
      <c r="E2035" s="227">
        <v>44136</v>
      </c>
      <c r="F2035" s="156">
        <v>254743.44</v>
      </c>
      <c r="G2035" s="131">
        <f t="shared" si="145"/>
        <v>45650.024447999996</v>
      </c>
      <c r="H2035" s="156">
        <v>1805.91</v>
      </c>
      <c r="I2035" s="156">
        <v>294466.96999999997</v>
      </c>
      <c r="J2035" s="156">
        <v>0</v>
      </c>
      <c r="K2035" s="131">
        <f t="shared" si="146"/>
        <v>296272.87999999995</v>
      </c>
      <c r="L2035" s="134">
        <v>0.1792</v>
      </c>
    </row>
    <row r="2036" spans="3:12">
      <c r="C2036" s="161">
        <f t="shared" si="144"/>
        <v>2020</v>
      </c>
      <c r="D2036" s="35" t="s">
        <v>290</v>
      </c>
      <c r="E2036" s="227">
        <v>44166</v>
      </c>
      <c r="F2036" s="156">
        <v>269013.06</v>
      </c>
      <c r="G2036" s="131">
        <f t="shared" si="145"/>
        <v>48207.140352000002</v>
      </c>
      <c r="H2036" s="156">
        <v>24312.92</v>
      </c>
      <c r="I2036" s="156">
        <v>215083.27</v>
      </c>
      <c r="J2036" s="156">
        <v>0</v>
      </c>
      <c r="K2036" s="131">
        <f t="shared" si="146"/>
        <v>239396.19</v>
      </c>
      <c r="L2036" s="134">
        <v>0.1792</v>
      </c>
    </row>
    <row r="2037" spans="3:12">
      <c r="C2037" s="161">
        <f t="shared" si="144"/>
        <v>2021</v>
      </c>
      <c r="D2037" s="35" t="s">
        <v>290</v>
      </c>
      <c r="E2037" s="227">
        <v>44197</v>
      </c>
      <c r="F2037" s="156">
        <v>271645.19</v>
      </c>
      <c r="G2037" s="131">
        <f t="shared" si="145"/>
        <v>48678.818048000001</v>
      </c>
      <c r="H2037" s="156">
        <v>272.74</v>
      </c>
      <c r="I2037" s="156">
        <v>179905.4</v>
      </c>
      <c r="J2037" s="156">
        <v>0</v>
      </c>
      <c r="K2037" s="131">
        <f t="shared" si="146"/>
        <v>180178.13999999998</v>
      </c>
      <c r="L2037" s="134">
        <v>0.1792</v>
      </c>
    </row>
    <row r="2038" spans="3:12">
      <c r="C2038" s="161">
        <f t="shared" si="144"/>
        <v>2021</v>
      </c>
      <c r="D2038" s="35" t="s">
        <v>290</v>
      </c>
      <c r="E2038" s="227">
        <v>44229</v>
      </c>
      <c r="F2038" s="156">
        <v>258360.25</v>
      </c>
      <c r="G2038" s="131">
        <f t="shared" si="145"/>
        <v>46298.156799999997</v>
      </c>
      <c r="H2038" s="156">
        <v>1119.3</v>
      </c>
      <c r="I2038" s="156">
        <v>139978.96</v>
      </c>
      <c r="J2038" s="156">
        <v>0</v>
      </c>
      <c r="K2038" s="131">
        <f t="shared" si="146"/>
        <v>141098.25999999998</v>
      </c>
      <c r="L2038" s="134">
        <v>0.1792</v>
      </c>
    </row>
    <row r="2039" spans="3:12">
      <c r="C2039" s="161">
        <f t="shared" si="144"/>
        <v>2021</v>
      </c>
      <c r="D2039" s="35" t="s">
        <v>290</v>
      </c>
      <c r="E2039" s="227">
        <v>44258</v>
      </c>
      <c r="F2039" s="156">
        <v>242548.6</v>
      </c>
      <c r="G2039" s="131">
        <f t="shared" si="145"/>
        <v>43464.70912</v>
      </c>
      <c r="H2039" s="156">
        <v>2131.3000000000002</v>
      </c>
      <c r="I2039" s="156">
        <v>181770.28</v>
      </c>
      <c r="J2039" s="156">
        <v>0</v>
      </c>
      <c r="K2039" s="131">
        <f t="shared" si="146"/>
        <v>183901.58</v>
      </c>
      <c r="L2039" s="134">
        <v>0.1792</v>
      </c>
    </row>
    <row r="2040" spans="3:12">
      <c r="C2040" s="161">
        <f t="shared" si="144"/>
        <v>2021</v>
      </c>
      <c r="D2040" s="35" t="s">
        <v>290</v>
      </c>
      <c r="E2040" s="227">
        <v>44290</v>
      </c>
      <c r="F2040" s="156">
        <v>295017.07</v>
      </c>
      <c r="G2040" s="131">
        <f t="shared" si="145"/>
        <v>52867.058944000004</v>
      </c>
      <c r="H2040" s="156">
        <v>10744.45</v>
      </c>
      <c r="I2040" s="156">
        <v>135999.78</v>
      </c>
      <c r="J2040" s="156">
        <v>0</v>
      </c>
      <c r="K2040" s="131">
        <f t="shared" si="146"/>
        <v>146744.23000000001</v>
      </c>
      <c r="L2040" s="134">
        <v>0.1792</v>
      </c>
    </row>
    <row r="2041" spans="3:12">
      <c r="C2041" s="161">
        <f t="shared" si="144"/>
        <v>2021</v>
      </c>
      <c r="D2041" s="35" t="s">
        <v>290</v>
      </c>
      <c r="E2041" s="227">
        <v>44321</v>
      </c>
      <c r="F2041" s="156">
        <v>244321.82</v>
      </c>
      <c r="G2041" s="131">
        <f t="shared" si="145"/>
        <v>43782.470143999999</v>
      </c>
      <c r="H2041" s="156">
        <v>2447.4</v>
      </c>
      <c r="I2041" s="156">
        <v>103975.58</v>
      </c>
      <c r="J2041" s="156">
        <v>0</v>
      </c>
      <c r="K2041" s="131">
        <f t="shared" si="146"/>
        <v>106422.98</v>
      </c>
      <c r="L2041" s="134">
        <v>0.1792</v>
      </c>
    </row>
    <row r="2042" spans="3:12">
      <c r="C2042" s="161">
        <f t="shared" si="144"/>
        <v>2021</v>
      </c>
      <c r="D2042" s="35" t="s">
        <v>290</v>
      </c>
      <c r="E2042" s="227">
        <v>44353</v>
      </c>
      <c r="F2042" s="156">
        <v>238851.73</v>
      </c>
      <c r="G2042" s="131">
        <f t="shared" si="145"/>
        <v>42802.230016000001</v>
      </c>
      <c r="H2042" s="156">
        <v>374442.92</v>
      </c>
      <c r="I2042" s="156">
        <v>174530.67</v>
      </c>
      <c r="J2042" s="156">
        <v>0</v>
      </c>
      <c r="K2042" s="131">
        <f t="shared" si="146"/>
        <v>548973.59</v>
      </c>
      <c r="L2042" s="134">
        <v>0.1792</v>
      </c>
    </row>
    <row r="2043" spans="3:12">
      <c r="C2043" s="161">
        <f t="shared" si="144"/>
        <v>2015</v>
      </c>
      <c r="D2043" s="35" t="s">
        <v>291</v>
      </c>
      <c r="E2043" s="227">
        <v>42309</v>
      </c>
      <c r="F2043" s="156">
        <v>246849.84</v>
      </c>
      <c r="G2043" s="131">
        <f t="shared" si="145"/>
        <v>44235.491327999996</v>
      </c>
      <c r="H2043" s="156">
        <v>8878.82</v>
      </c>
      <c r="I2043" s="156">
        <v>0</v>
      </c>
      <c r="J2043" s="156">
        <v>0</v>
      </c>
      <c r="K2043" s="131">
        <f t="shared" si="146"/>
        <v>8878.82</v>
      </c>
      <c r="L2043" s="134">
        <v>0.1792</v>
      </c>
    </row>
    <row r="2044" spans="3:12">
      <c r="C2044" s="161">
        <f t="shared" si="144"/>
        <v>2015</v>
      </c>
      <c r="D2044" s="35" t="s">
        <v>291</v>
      </c>
      <c r="E2044" s="227">
        <v>42339</v>
      </c>
      <c r="F2044" s="156">
        <v>228769.5</v>
      </c>
      <c r="G2044" s="131">
        <f t="shared" si="145"/>
        <v>40995.494399999996</v>
      </c>
      <c r="H2044" s="156">
        <v>11628.21</v>
      </c>
      <c r="I2044" s="156">
        <v>0</v>
      </c>
      <c r="J2044" s="156">
        <v>0</v>
      </c>
      <c r="K2044" s="131">
        <f t="shared" si="146"/>
        <v>11628.21</v>
      </c>
      <c r="L2044" s="134">
        <v>0.1792</v>
      </c>
    </row>
    <row r="2045" spans="3:12">
      <c r="C2045" s="161">
        <f t="shared" si="144"/>
        <v>2016</v>
      </c>
      <c r="D2045" s="35" t="s">
        <v>291</v>
      </c>
      <c r="E2045" s="227">
        <v>42370</v>
      </c>
      <c r="F2045" s="156">
        <v>251455.8</v>
      </c>
      <c r="G2045" s="131">
        <f t="shared" si="145"/>
        <v>45060.879359999999</v>
      </c>
      <c r="H2045" s="156">
        <v>9692.35</v>
      </c>
      <c r="I2045" s="156">
        <v>38.1</v>
      </c>
      <c r="J2045" s="156">
        <v>0</v>
      </c>
      <c r="K2045" s="131">
        <f t="shared" si="146"/>
        <v>9730.4500000000007</v>
      </c>
      <c r="L2045" s="134">
        <v>0.1792</v>
      </c>
    </row>
    <row r="2046" spans="3:12">
      <c r="C2046" s="161">
        <f t="shared" si="144"/>
        <v>2016</v>
      </c>
      <c r="D2046" s="35" t="s">
        <v>291</v>
      </c>
      <c r="E2046" s="227">
        <v>42401</v>
      </c>
      <c r="F2046" s="156">
        <v>252284.39</v>
      </c>
      <c r="G2046" s="131">
        <f t="shared" si="145"/>
        <v>45209.362688000001</v>
      </c>
      <c r="H2046" s="156">
        <v>2878.05</v>
      </c>
      <c r="I2046" s="156">
        <v>76.2</v>
      </c>
      <c r="J2046" s="156">
        <v>0</v>
      </c>
      <c r="K2046" s="131">
        <f t="shared" si="146"/>
        <v>2954.25</v>
      </c>
      <c r="L2046" s="134">
        <v>0.1792</v>
      </c>
    </row>
    <row r="2047" spans="3:12">
      <c r="C2047" s="161">
        <f t="shared" si="144"/>
        <v>2016</v>
      </c>
      <c r="D2047" s="35" t="s">
        <v>291</v>
      </c>
      <c r="E2047" s="227">
        <v>42430</v>
      </c>
      <c r="F2047" s="156">
        <v>236694.55</v>
      </c>
      <c r="G2047" s="131">
        <f t="shared" si="145"/>
        <v>42415.663359999999</v>
      </c>
      <c r="H2047" s="156">
        <v>1617.98</v>
      </c>
      <c r="I2047" s="156">
        <v>59.73</v>
      </c>
      <c r="J2047" s="156">
        <v>0</v>
      </c>
      <c r="K2047" s="131">
        <f t="shared" si="146"/>
        <v>1677.71</v>
      </c>
      <c r="L2047" s="134">
        <v>0.1792</v>
      </c>
    </row>
    <row r="2048" spans="3:12">
      <c r="C2048" s="161">
        <f t="shared" si="144"/>
        <v>2016</v>
      </c>
      <c r="D2048" s="35" t="s">
        <v>291</v>
      </c>
      <c r="E2048" s="227">
        <v>42461</v>
      </c>
      <c r="F2048" s="156">
        <v>255633.31</v>
      </c>
      <c r="G2048" s="131">
        <f t="shared" si="145"/>
        <v>45809.489152000002</v>
      </c>
      <c r="H2048" s="156">
        <v>2024.42</v>
      </c>
      <c r="I2048" s="156">
        <v>165.67</v>
      </c>
      <c r="J2048" s="156">
        <v>0</v>
      </c>
      <c r="K2048" s="131">
        <f t="shared" si="146"/>
        <v>2190.09</v>
      </c>
      <c r="L2048" s="134">
        <v>0.1792</v>
      </c>
    </row>
    <row r="2049" spans="3:12">
      <c r="C2049" s="161">
        <f t="shared" si="144"/>
        <v>2016</v>
      </c>
      <c r="D2049" s="35" t="s">
        <v>291</v>
      </c>
      <c r="E2049" s="227">
        <v>42491</v>
      </c>
      <c r="F2049" s="156">
        <v>229289.54</v>
      </c>
      <c r="G2049" s="131">
        <f t="shared" si="145"/>
        <v>41088.685568000001</v>
      </c>
      <c r="H2049" s="156">
        <v>1225.9000000000001</v>
      </c>
      <c r="I2049" s="156">
        <v>0</v>
      </c>
      <c r="J2049" s="156">
        <v>0</v>
      </c>
      <c r="K2049" s="131">
        <f t="shared" si="146"/>
        <v>1225.9000000000001</v>
      </c>
      <c r="L2049" s="134">
        <v>0.1792</v>
      </c>
    </row>
    <row r="2050" spans="3:12">
      <c r="C2050" s="161">
        <f t="shared" si="144"/>
        <v>2016</v>
      </c>
      <c r="D2050" s="35" t="s">
        <v>291</v>
      </c>
      <c r="E2050" s="227">
        <v>42522</v>
      </c>
      <c r="F2050" s="156">
        <v>222597.75</v>
      </c>
      <c r="G2050" s="131">
        <f t="shared" si="145"/>
        <v>39889.516799999998</v>
      </c>
      <c r="H2050" s="156">
        <v>2809.47</v>
      </c>
      <c r="I2050" s="156">
        <v>34.340000000000003</v>
      </c>
      <c r="J2050" s="156">
        <v>0</v>
      </c>
      <c r="K2050" s="131">
        <f t="shared" si="146"/>
        <v>2843.81</v>
      </c>
      <c r="L2050" s="134">
        <v>0.1792</v>
      </c>
    </row>
    <row r="2051" spans="3:12">
      <c r="C2051" s="161">
        <f t="shared" si="144"/>
        <v>2016</v>
      </c>
      <c r="D2051" s="35" t="s">
        <v>291</v>
      </c>
      <c r="E2051" s="227">
        <v>42552</v>
      </c>
      <c r="F2051" s="156">
        <v>240915.89</v>
      </c>
      <c r="G2051" s="131">
        <f t="shared" si="145"/>
        <v>43172.127488000006</v>
      </c>
      <c r="H2051" s="156">
        <v>4509.1499999999996</v>
      </c>
      <c r="I2051" s="156">
        <v>294.85000000000002</v>
      </c>
      <c r="J2051" s="156">
        <v>0</v>
      </c>
      <c r="K2051" s="131">
        <f t="shared" si="146"/>
        <v>4804</v>
      </c>
      <c r="L2051" s="134">
        <v>0.1792</v>
      </c>
    </row>
    <row r="2052" spans="3:12">
      <c r="C2052" s="161">
        <f t="shared" ref="C2052:C2115" si="147">YEAR(E2052)</f>
        <v>2016</v>
      </c>
      <c r="D2052" s="35" t="s">
        <v>291</v>
      </c>
      <c r="E2052" s="227">
        <v>42583</v>
      </c>
      <c r="F2052" s="156">
        <v>243131.39</v>
      </c>
      <c r="G2052" s="131">
        <f t="shared" ref="G2052:G2115" si="148">F2052*L2052</f>
        <v>43569.145088000005</v>
      </c>
      <c r="H2052" s="156">
        <v>1366.08</v>
      </c>
      <c r="I2052" s="156">
        <v>40.340000000000003</v>
      </c>
      <c r="J2052" s="156">
        <v>1279</v>
      </c>
      <c r="K2052" s="131">
        <f t="shared" ref="K2052:K2115" si="149">SUM(H2052:J2052)</f>
        <v>2685.42</v>
      </c>
      <c r="L2052" s="134">
        <v>0.1792</v>
      </c>
    </row>
    <row r="2053" spans="3:12">
      <c r="C2053" s="161">
        <f t="shared" si="147"/>
        <v>2016</v>
      </c>
      <c r="D2053" s="35" t="s">
        <v>291</v>
      </c>
      <c r="E2053" s="227">
        <v>42614</v>
      </c>
      <c r="F2053" s="156">
        <v>243799.78</v>
      </c>
      <c r="G2053" s="131">
        <f t="shared" si="148"/>
        <v>43688.920575999997</v>
      </c>
      <c r="H2053" s="156">
        <v>917.1</v>
      </c>
      <c r="I2053" s="156">
        <v>44.1</v>
      </c>
      <c r="J2053" s="156">
        <v>0</v>
      </c>
      <c r="K2053" s="131">
        <f t="shared" si="149"/>
        <v>961.2</v>
      </c>
      <c r="L2053" s="134">
        <v>0.1792</v>
      </c>
    </row>
    <row r="2054" spans="3:12">
      <c r="C2054" s="161">
        <f t="shared" si="147"/>
        <v>2016</v>
      </c>
      <c r="D2054" s="35" t="s">
        <v>291</v>
      </c>
      <c r="E2054" s="227">
        <v>42644</v>
      </c>
      <c r="F2054" s="156">
        <v>253044.63</v>
      </c>
      <c r="G2054" s="131">
        <f t="shared" si="148"/>
        <v>45345.597695999997</v>
      </c>
      <c r="H2054" s="156">
        <v>208.1</v>
      </c>
      <c r="I2054" s="156">
        <v>0</v>
      </c>
      <c r="J2054" s="156">
        <v>0</v>
      </c>
      <c r="K2054" s="131">
        <f t="shared" si="149"/>
        <v>208.1</v>
      </c>
      <c r="L2054" s="134">
        <v>0.1792</v>
      </c>
    </row>
    <row r="2055" spans="3:12">
      <c r="C2055" s="161">
        <f t="shared" si="147"/>
        <v>2016</v>
      </c>
      <c r="D2055" s="35" t="s">
        <v>291</v>
      </c>
      <c r="E2055" s="227">
        <v>42675</v>
      </c>
      <c r="F2055" s="156">
        <v>272315.68</v>
      </c>
      <c r="G2055" s="131">
        <f t="shared" si="148"/>
        <v>48798.969855999996</v>
      </c>
      <c r="H2055" s="156">
        <v>806.62</v>
      </c>
      <c r="I2055" s="156">
        <v>0</v>
      </c>
      <c r="J2055" s="156">
        <v>0</v>
      </c>
      <c r="K2055" s="131">
        <f t="shared" si="149"/>
        <v>806.62</v>
      </c>
      <c r="L2055" s="134">
        <v>0.1792</v>
      </c>
    </row>
    <row r="2056" spans="3:12">
      <c r="C2056" s="161">
        <f t="shared" si="147"/>
        <v>2016</v>
      </c>
      <c r="D2056" s="35" t="s">
        <v>291</v>
      </c>
      <c r="E2056" s="227">
        <v>42705</v>
      </c>
      <c r="F2056" s="156">
        <v>262531.46000000002</v>
      </c>
      <c r="G2056" s="131">
        <f t="shared" si="148"/>
        <v>47045.637632000005</v>
      </c>
      <c r="H2056" s="156">
        <v>4959.57</v>
      </c>
      <c r="I2056" s="156">
        <v>88.18</v>
      </c>
      <c r="J2056" s="156">
        <v>0</v>
      </c>
      <c r="K2056" s="131">
        <f t="shared" si="149"/>
        <v>5047.75</v>
      </c>
      <c r="L2056" s="134">
        <v>0.1792</v>
      </c>
    </row>
    <row r="2057" spans="3:12">
      <c r="C2057" s="161">
        <f t="shared" si="147"/>
        <v>2017</v>
      </c>
      <c r="D2057" s="35" t="s">
        <v>291</v>
      </c>
      <c r="E2057" s="227">
        <v>42736</v>
      </c>
      <c r="F2057" s="156">
        <v>289654.84000000003</v>
      </c>
      <c r="G2057" s="131">
        <f t="shared" si="148"/>
        <v>51906.147328000006</v>
      </c>
      <c r="H2057" s="156">
        <v>391.02</v>
      </c>
      <c r="I2057" s="156">
        <v>0</v>
      </c>
      <c r="J2057" s="156">
        <v>602.20000000000005</v>
      </c>
      <c r="K2057" s="131">
        <f t="shared" si="149"/>
        <v>993.22</v>
      </c>
      <c r="L2057" s="134">
        <v>0.1792</v>
      </c>
    </row>
    <row r="2058" spans="3:12">
      <c r="C2058" s="161">
        <f t="shared" si="147"/>
        <v>2017</v>
      </c>
      <c r="D2058" s="35" t="s">
        <v>291</v>
      </c>
      <c r="E2058" s="227">
        <v>42767</v>
      </c>
      <c r="F2058" s="156">
        <v>269255.71999999997</v>
      </c>
      <c r="G2058" s="131">
        <f t="shared" si="148"/>
        <v>48250.625023999994</v>
      </c>
      <c r="H2058" s="156">
        <v>720.5</v>
      </c>
      <c r="I2058" s="156">
        <v>0</v>
      </c>
      <c r="J2058" s="156">
        <v>974.2</v>
      </c>
      <c r="K2058" s="131">
        <f t="shared" si="149"/>
        <v>1694.7</v>
      </c>
      <c r="L2058" s="134">
        <v>0.1792</v>
      </c>
    </row>
    <row r="2059" spans="3:12">
      <c r="C2059" s="161">
        <f t="shared" si="147"/>
        <v>2017</v>
      </c>
      <c r="D2059" s="35" t="s">
        <v>291</v>
      </c>
      <c r="E2059" s="227">
        <v>42795</v>
      </c>
      <c r="F2059" s="156">
        <v>258579.09</v>
      </c>
      <c r="G2059" s="131">
        <f t="shared" si="148"/>
        <v>46337.372927999997</v>
      </c>
      <c r="H2059" s="156">
        <v>1133.45</v>
      </c>
      <c r="I2059" s="156">
        <v>0</v>
      </c>
      <c r="J2059" s="156">
        <v>0</v>
      </c>
      <c r="K2059" s="131">
        <f t="shared" si="149"/>
        <v>1133.45</v>
      </c>
      <c r="L2059" s="134">
        <v>0.1792</v>
      </c>
    </row>
    <row r="2060" spans="3:12">
      <c r="C2060" s="161">
        <f t="shared" si="147"/>
        <v>2017</v>
      </c>
      <c r="D2060" s="35" t="s">
        <v>291</v>
      </c>
      <c r="E2060" s="227">
        <v>42826</v>
      </c>
      <c r="F2060" s="156">
        <v>249379.88</v>
      </c>
      <c r="G2060" s="131">
        <f t="shared" si="148"/>
        <v>44688.874496000004</v>
      </c>
      <c r="H2060" s="156">
        <v>1184.03</v>
      </c>
      <c r="I2060" s="156">
        <v>0</v>
      </c>
      <c r="J2060" s="156">
        <v>0</v>
      </c>
      <c r="K2060" s="131">
        <f t="shared" si="149"/>
        <v>1184.03</v>
      </c>
      <c r="L2060" s="134">
        <v>0.1792</v>
      </c>
    </row>
    <row r="2061" spans="3:12">
      <c r="C2061" s="161">
        <f t="shared" si="147"/>
        <v>2017</v>
      </c>
      <c r="D2061" s="35" t="s">
        <v>291</v>
      </c>
      <c r="E2061" s="227">
        <v>42856</v>
      </c>
      <c r="F2061" s="156">
        <v>249488.19</v>
      </c>
      <c r="G2061" s="131">
        <f t="shared" si="148"/>
        <v>44708.283647999997</v>
      </c>
      <c r="H2061" s="156">
        <v>2755.86</v>
      </c>
      <c r="I2061" s="156">
        <v>0</v>
      </c>
      <c r="J2061" s="156">
        <v>0</v>
      </c>
      <c r="K2061" s="131">
        <f t="shared" si="149"/>
        <v>2755.86</v>
      </c>
      <c r="L2061" s="134">
        <v>0.1792</v>
      </c>
    </row>
    <row r="2062" spans="3:12">
      <c r="C2062" s="161">
        <f t="shared" si="147"/>
        <v>2017</v>
      </c>
      <c r="D2062" s="35" t="s">
        <v>291</v>
      </c>
      <c r="E2062" s="227">
        <v>42887</v>
      </c>
      <c r="F2062" s="156">
        <v>243327.65</v>
      </c>
      <c r="G2062" s="131">
        <f t="shared" si="148"/>
        <v>43604.314879999998</v>
      </c>
      <c r="H2062" s="156">
        <v>1075.54</v>
      </c>
      <c r="I2062" s="156">
        <v>41.12</v>
      </c>
      <c r="J2062" s="156">
        <v>0</v>
      </c>
      <c r="K2062" s="131">
        <f t="shared" si="149"/>
        <v>1116.6599999999999</v>
      </c>
      <c r="L2062" s="134">
        <v>0.1792</v>
      </c>
    </row>
    <row r="2063" spans="3:12">
      <c r="C2063" s="161">
        <f t="shared" si="147"/>
        <v>2017</v>
      </c>
      <c r="D2063" s="35" t="s">
        <v>291</v>
      </c>
      <c r="E2063" s="227">
        <v>42917</v>
      </c>
      <c r="F2063" s="156">
        <v>247996.62</v>
      </c>
      <c r="G2063" s="131">
        <f t="shared" si="148"/>
        <v>44440.994304</v>
      </c>
      <c r="H2063" s="156">
        <v>367.01</v>
      </c>
      <c r="I2063" s="156">
        <v>0</v>
      </c>
      <c r="J2063" s="156">
        <v>9551.89</v>
      </c>
      <c r="K2063" s="131">
        <f t="shared" si="149"/>
        <v>9918.9</v>
      </c>
      <c r="L2063" s="134">
        <v>0.1792</v>
      </c>
    </row>
    <row r="2064" spans="3:12">
      <c r="C2064" s="161">
        <f t="shared" si="147"/>
        <v>2017</v>
      </c>
      <c r="D2064" s="35" t="s">
        <v>291</v>
      </c>
      <c r="E2064" s="227">
        <v>42948</v>
      </c>
      <c r="F2064" s="156">
        <v>274359.24</v>
      </c>
      <c r="G2064" s="131">
        <f t="shared" si="148"/>
        <v>49165.175808</v>
      </c>
      <c r="H2064" s="156">
        <v>2860.98</v>
      </c>
      <c r="I2064" s="156">
        <v>84</v>
      </c>
      <c r="J2064" s="156">
        <v>0</v>
      </c>
      <c r="K2064" s="131">
        <f t="shared" si="149"/>
        <v>2944.98</v>
      </c>
      <c r="L2064" s="134">
        <v>0.1792</v>
      </c>
    </row>
    <row r="2065" spans="3:12">
      <c r="C2065" s="161">
        <f t="shared" si="147"/>
        <v>2017</v>
      </c>
      <c r="D2065" s="35" t="s">
        <v>291</v>
      </c>
      <c r="E2065" s="227">
        <v>42979</v>
      </c>
      <c r="F2065" s="156">
        <v>287052.53000000003</v>
      </c>
      <c r="G2065" s="131">
        <f t="shared" si="148"/>
        <v>51439.813376000006</v>
      </c>
      <c r="H2065" s="156">
        <v>1621.89</v>
      </c>
      <c r="I2065" s="156">
        <v>0</v>
      </c>
      <c r="J2065" s="156">
        <v>0</v>
      </c>
      <c r="K2065" s="131">
        <f t="shared" si="149"/>
        <v>1621.89</v>
      </c>
      <c r="L2065" s="134">
        <v>0.1792</v>
      </c>
    </row>
    <row r="2066" spans="3:12">
      <c r="C2066" s="161">
        <f t="shared" si="147"/>
        <v>2017</v>
      </c>
      <c r="D2066" s="35" t="s">
        <v>291</v>
      </c>
      <c r="E2066" s="227">
        <v>43009</v>
      </c>
      <c r="F2066" s="156">
        <v>276805.33</v>
      </c>
      <c r="G2066" s="131">
        <f t="shared" si="148"/>
        <v>49603.515136000002</v>
      </c>
      <c r="H2066" s="156">
        <v>1160.6099999999999</v>
      </c>
      <c r="I2066" s="156">
        <v>0</v>
      </c>
      <c r="J2066" s="156">
        <v>0</v>
      </c>
      <c r="K2066" s="131">
        <f t="shared" si="149"/>
        <v>1160.6099999999999</v>
      </c>
      <c r="L2066" s="134">
        <v>0.1792</v>
      </c>
    </row>
    <row r="2067" spans="3:12">
      <c r="C2067" s="161">
        <f t="shared" si="147"/>
        <v>2017</v>
      </c>
      <c r="D2067" s="35" t="s">
        <v>291</v>
      </c>
      <c r="E2067" s="227">
        <v>43040</v>
      </c>
      <c r="F2067" s="156">
        <v>263215.82</v>
      </c>
      <c r="G2067" s="131">
        <f t="shared" si="148"/>
        <v>47168.274944000004</v>
      </c>
      <c r="H2067" s="156">
        <v>731.55</v>
      </c>
      <c r="I2067" s="156">
        <v>0</v>
      </c>
      <c r="J2067" s="156">
        <v>0</v>
      </c>
      <c r="K2067" s="131">
        <f t="shared" si="149"/>
        <v>731.55</v>
      </c>
      <c r="L2067" s="134">
        <v>0.1792</v>
      </c>
    </row>
    <row r="2068" spans="3:12">
      <c r="C2068" s="161">
        <f t="shared" si="147"/>
        <v>2017</v>
      </c>
      <c r="D2068" s="35" t="s">
        <v>291</v>
      </c>
      <c r="E2068" s="227">
        <v>43070</v>
      </c>
      <c r="F2068" s="156">
        <v>285679.58</v>
      </c>
      <c r="G2068" s="131">
        <f t="shared" si="148"/>
        <v>51193.780736000001</v>
      </c>
      <c r="H2068" s="156">
        <v>463.41</v>
      </c>
      <c r="I2068" s="156">
        <v>40.659999999999997</v>
      </c>
      <c r="J2068" s="156">
        <v>0</v>
      </c>
      <c r="K2068" s="131">
        <f t="shared" si="149"/>
        <v>504.07000000000005</v>
      </c>
      <c r="L2068" s="134">
        <v>0.1792</v>
      </c>
    </row>
    <row r="2069" spans="3:12">
      <c r="C2069" s="161">
        <f t="shared" si="147"/>
        <v>2018</v>
      </c>
      <c r="D2069" s="35" t="s">
        <v>291</v>
      </c>
      <c r="E2069" s="227">
        <v>43101</v>
      </c>
      <c r="F2069" s="156">
        <v>277126.88</v>
      </c>
      <c r="G2069" s="131">
        <f t="shared" si="148"/>
        <v>49661.136896000004</v>
      </c>
      <c r="H2069" s="156">
        <v>1414.46</v>
      </c>
      <c r="I2069" s="156">
        <v>81.23</v>
      </c>
      <c r="J2069" s="156">
        <v>0</v>
      </c>
      <c r="K2069" s="131">
        <f t="shared" si="149"/>
        <v>1495.69</v>
      </c>
      <c r="L2069" s="134">
        <v>0.1792</v>
      </c>
    </row>
    <row r="2070" spans="3:12">
      <c r="C2070" s="161">
        <f t="shared" si="147"/>
        <v>2018</v>
      </c>
      <c r="D2070" s="35" t="s">
        <v>291</v>
      </c>
      <c r="E2070" s="227">
        <v>43132</v>
      </c>
      <c r="F2070" s="156">
        <v>284106.86</v>
      </c>
      <c r="G2070" s="131">
        <f t="shared" si="148"/>
        <v>50911.949311999997</v>
      </c>
      <c r="H2070" s="156">
        <v>559.41</v>
      </c>
      <c r="I2070" s="156">
        <v>0</v>
      </c>
      <c r="J2070" s="156">
        <v>0</v>
      </c>
      <c r="K2070" s="131">
        <f t="shared" si="149"/>
        <v>559.41</v>
      </c>
      <c r="L2070" s="134">
        <v>0.1792</v>
      </c>
    </row>
    <row r="2071" spans="3:12">
      <c r="C2071" s="161">
        <f t="shared" si="147"/>
        <v>2018</v>
      </c>
      <c r="D2071" s="35" t="s">
        <v>291</v>
      </c>
      <c r="E2071" s="227">
        <v>43160</v>
      </c>
      <c r="F2071" s="156">
        <v>267070.15000000002</v>
      </c>
      <c r="G2071" s="131">
        <f t="shared" si="148"/>
        <v>47858.970880000001</v>
      </c>
      <c r="H2071" s="156">
        <v>1332.53</v>
      </c>
      <c r="I2071" s="156">
        <v>81.150000000000006</v>
      </c>
      <c r="J2071" s="156">
        <v>0</v>
      </c>
      <c r="K2071" s="131">
        <f t="shared" si="149"/>
        <v>1413.68</v>
      </c>
      <c r="L2071" s="134">
        <v>0.1792</v>
      </c>
    </row>
    <row r="2072" spans="3:12">
      <c r="C2072" s="161">
        <f t="shared" si="147"/>
        <v>2018</v>
      </c>
      <c r="D2072" s="35" t="s">
        <v>291</v>
      </c>
      <c r="E2072" s="227">
        <v>43191</v>
      </c>
      <c r="F2072" s="156">
        <v>282879.42</v>
      </c>
      <c r="G2072" s="131">
        <f t="shared" si="148"/>
        <v>50691.992063999998</v>
      </c>
      <c r="H2072" s="156">
        <v>345.98</v>
      </c>
      <c r="I2072" s="156">
        <v>0</v>
      </c>
      <c r="J2072" s="156">
        <v>0</v>
      </c>
      <c r="K2072" s="131">
        <f t="shared" si="149"/>
        <v>345.98</v>
      </c>
      <c r="L2072" s="134">
        <v>0.1792</v>
      </c>
    </row>
    <row r="2073" spans="3:12">
      <c r="C2073" s="161">
        <f t="shared" si="147"/>
        <v>2018</v>
      </c>
      <c r="D2073" s="35" t="s">
        <v>291</v>
      </c>
      <c r="E2073" s="227">
        <v>43221</v>
      </c>
      <c r="F2073" s="156">
        <v>288592.78000000003</v>
      </c>
      <c r="G2073" s="131">
        <f t="shared" si="148"/>
        <v>51715.826176000002</v>
      </c>
      <c r="H2073" s="156">
        <v>12841.27</v>
      </c>
      <c r="I2073" s="156">
        <v>0</v>
      </c>
      <c r="J2073" s="156">
        <v>26693.4</v>
      </c>
      <c r="K2073" s="131">
        <f t="shared" si="149"/>
        <v>39534.67</v>
      </c>
      <c r="L2073" s="134">
        <v>0.1792</v>
      </c>
    </row>
    <row r="2074" spans="3:12">
      <c r="C2074" s="161">
        <f t="shared" si="147"/>
        <v>2018</v>
      </c>
      <c r="D2074" s="35" t="s">
        <v>291</v>
      </c>
      <c r="E2074" s="227">
        <v>43252</v>
      </c>
      <c r="F2074" s="156">
        <v>275272.39</v>
      </c>
      <c r="G2074" s="131">
        <f t="shared" si="148"/>
        <v>49328.812288000001</v>
      </c>
      <c r="H2074" s="156">
        <v>5311.04</v>
      </c>
      <c r="I2074" s="156">
        <v>166.27</v>
      </c>
      <c r="J2074" s="156">
        <v>1225</v>
      </c>
      <c r="K2074" s="131">
        <f t="shared" si="149"/>
        <v>6702.31</v>
      </c>
      <c r="L2074" s="134">
        <v>0.1792</v>
      </c>
    </row>
    <row r="2075" spans="3:12">
      <c r="C2075" s="161">
        <f t="shared" si="147"/>
        <v>2018</v>
      </c>
      <c r="D2075" s="35" t="s">
        <v>291</v>
      </c>
      <c r="E2075" s="227">
        <v>43282</v>
      </c>
      <c r="F2075" s="156">
        <v>270041.12</v>
      </c>
      <c r="G2075" s="131">
        <f t="shared" si="148"/>
        <v>48391.368704</v>
      </c>
      <c r="H2075" s="156">
        <v>5025.97</v>
      </c>
      <c r="I2075" s="156">
        <v>0</v>
      </c>
      <c r="J2075" s="156">
        <v>7707.3</v>
      </c>
      <c r="K2075" s="131">
        <f t="shared" si="149"/>
        <v>12733.27</v>
      </c>
      <c r="L2075" s="134">
        <v>0.1792</v>
      </c>
    </row>
    <row r="2076" spans="3:12">
      <c r="C2076" s="161">
        <f t="shared" si="147"/>
        <v>2018</v>
      </c>
      <c r="D2076" s="35" t="s">
        <v>291</v>
      </c>
      <c r="E2076" s="227">
        <v>43313</v>
      </c>
      <c r="F2076" s="156">
        <v>274484.7</v>
      </c>
      <c r="G2076" s="131">
        <f t="shared" si="148"/>
        <v>49187.658240000004</v>
      </c>
      <c r="H2076" s="156">
        <v>11123.47</v>
      </c>
      <c r="I2076" s="156">
        <v>0</v>
      </c>
      <c r="J2076" s="156">
        <v>9164.06</v>
      </c>
      <c r="K2076" s="131">
        <f t="shared" si="149"/>
        <v>20287.53</v>
      </c>
      <c r="L2076" s="134">
        <v>0.1792</v>
      </c>
    </row>
    <row r="2077" spans="3:12">
      <c r="C2077" s="161">
        <f t="shared" si="147"/>
        <v>2018</v>
      </c>
      <c r="D2077" s="35" t="s">
        <v>291</v>
      </c>
      <c r="E2077" s="227">
        <v>43344</v>
      </c>
      <c r="F2077" s="156">
        <v>275196.64</v>
      </c>
      <c r="G2077" s="131">
        <f t="shared" si="148"/>
        <v>49315.237888000003</v>
      </c>
      <c r="H2077" s="156">
        <v>3555.53</v>
      </c>
      <c r="I2077" s="156">
        <v>78.47</v>
      </c>
      <c r="J2077" s="156">
        <v>358</v>
      </c>
      <c r="K2077" s="131">
        <f t="shared" si="149"/>
        <v>3992</v>
      </c>
      <c r="L2077" s="134">
        <v>0.1792</v>
      </c>
    </row>
    <row r="2078" spans="3:12">
      <c r="C2078" s="161">
        <f t="shared" si="147"/>
        <v>2018</v>
      </c>
      <c r="D2078" s="35" t="s">
        <v>291</v>
      </c>
      <c r="E2078" s="227">
        <v>43374</v>
      </c>
      <c r="F2078" s="156">
        <v>268541.28000000003</v>
      </c>
      <c r="G2078" s="131">
        <f t="shared" si="148"/>
        <v>48122.597376000005</v>
      </c>
      <c r="H2078" s="156">
        <v>1886.65</v>
      </c>
      <c r="I2078" s="156">
        <v>0</v>
      </c>
      <c r="J2078" s="156">
        <v>1958</v>
      </c>
      <c r="K2078" s="131">
        <f t="shared" si="149"/>
        <v>3844.65</v>
      </c>
      <c r="L2078" s="134">
        <v>0.1792</v>
      </c>
    </row>
    <row r="2079" spans="3:12">
      <c r="C2079" s="161">
        <f t="shared" si="147"/>
        <v>2018</v>
      </c>
      <c r="D2079" s="35" t="s">
        <v>291</v>
      </c>
      <c r="E2079" s="227">
        <v>43405</v>
      </c>
      <c r="F2079" s="156">
        <v>291675.14640000003</v>
      </c>
      <c r="G2079" s="131">
        <f t="shared" si="148"/>
        <v>52268.186234880006</v>
      </c>
      <c r="H2079" s="156">
        <v>646.86</v>
      </c>
      <c r="I2079" s="156">
        <v>0</v>
      </c>
      <c r="J2079" s="156">
        <v>43222.5</v>
      </c>
      <c r="K2079" s="131">
        <f t="shared" si="149"/>
        <v>43869.36</v>
      </c>
      <c r="L2079" s="134">
        <v>0.1792</v>
      </c>
    </row>
    <row r="2080" spans="3:12">
      <c r="C2080" s="161">
        <f t="shared" si="147"/>
        <v>2018</v>
      </c>
      <c r="D2080" s="35" t="s">
        <v>291</v>
      </c>
      <c r="E2080" s="227">
        <v>43435</v>
      </c>
      <c r="F2080" s="156">
        <v>316725.05</v>
      </c>
      <c r="G2080" s="131">
        <f t="shared" si="148"/>
        <v>56757.128959999995</v>
      </c>
      <c r="H2080" s="156">
        <v>73.05</v>
      </c>
      <c r="I2080" s="156">
        <v>0</v>
      </c>
      <c r="J2080" s="156">
        <v>199000</v>
      </c>
      <c r="K2080" s="131">
        <f t="shared" si="149"/>
        <v>199073.05</v>
      </c>
      <c r="L2080" s="134">
        <v>0.1792</v>
      </c>
    </row>
    <row r="2081" spans="3:12">
      <c r="C2081" s="161">
        <f t="shared" si="147"/>
        <v>2019</v>
      </c>
      <c r="D2081" s="35" t="s">
        <v>291</v>
      </c>
      <c r="E2081" s="227">
        <v>43466</v>
      </c>
      <c r="F2081" s="156">
        <v>311955.74</v>
      </c>
      <c r="G2081" s="131">
        <f t="shared" si="148"/>
        <v>55902.468607999996</v>
      </c>
      <c r="H2081" s="156">
        <v>189.85</v>
      </c>
      <c r="I2081" s="156">
        <v>0</v>
      </c>
      <c r="J2081" s="156">
        <v>472.09</v>
      </c>
      <c r="K2081" s="131">
        <f t="shared" si="149"/>
        <v>661.93999999999994</v>
      </c>
      <c r="L2081" s="134">
        <v>0.1792</v>
      </c>
    </row>
    <row r="2082" spans="3:12">
      <c r="C2082" s="161">
        <f t="shared" si="147"/>
        <v>2019</v>
      </c>
      <c r="D2082" s="35" t="s">
        <v>291</v>
      </c>
      <c r="E2082" s="227">
        <v>43497</v>
      </c>
      <c r="F2082" s="156">
        <v>309040.5</v>
      </c>
      <c r="G2082" s="131">
        <f t="shared" si="148"/>
        <v>55380.0576</v>
      </c>
      <c r="H2082" s="156">
        <v>526.23</v>
      </c>
      <c r="I2082" s="156">
        <v>0</v>
      </c>
      <c r="J2082" s="156">
        <v>0</v>
      </c>
      <c r="K2082" s="131">
        <f t="shared" si="149"/>
        <v>526.23</v>
      </c>
      <c r="L2082" s="134">
        <v>0.1792</v>
      </c>
    </row>
    <row r="2083" spans="3:12">
      <c r="C2083" s="161">
        <f t="shared" si="147"/>
        <v>2019</v>
      </c>
      <c r="D2083" s="35" t="s">
        <v>291</v>
      </c>
      <c r="E2083" s="227">
        <v>43525</v>
      </c>
      <c r="F2083" s="156">
        <v>274155.06</v>
      </c>
      <c r="G2083" s="131">
        <f t="shared" si="148"/>
        <v>49128.586751999996</v>
      </c>
      <c r="H2083" s="156">
        <v>660.79</v>
      </c>
      <c r="I2083" s="156">
        <v>0</v>
      </c>
      <c r="J2083" s="156">
        <v>0</v>
      </c>
      <c r="K2083" s="131">
        <f t="shared" si="149"/>
        <v>660.79</v>
      </c>
      <c r="L2083" s="134">
        <v>0.1792</v>
      </c>
    </row>
    <row r="2084" spans="3:12">
      <c r="C2084" s="161">
        <f t="shared" si="147"/>
        <v>2019</v>
      </c>
      <c r="D2084" s="35" t="s">
        <v>291</v>
      </c>
      <c r="E2084" s="227">
        <v>43556</v>
      </c>
      <c r="F2084" s="156">
        <v>281757</v>
      </c>
      <c r="G2084" s="131">
        <f t="shared" si="148"/>
        <v>50490.854399999997</v>
      </c>
      <c r="H2084" s="156">
        <v>790.81</v>
      </c>
      <c r="I2084" s="156">
        <v>0</v>
      </c>
      <c r="J2084" s="156">
        <v>0</v>
      </c>
      <c r="K2084" s="131">
        <f t="shared" si="149"/>
        <v>790.81</v>
      </c>
      <c r="L2084" s="134">
        <v>0.1792</v>
      </c>
    </row>
    <row r="2085" spans="3:12">
      <c r="C2085" s="161">
        <f t="shared" si="147"/>
        <v>2019</v>
      </c>
      <c r="D2085" s="35" t="s">
        <v>291</v>
      </c>
      <c r="E2085" s="227">
        <v>43586</v>
      </c>
      <c r="F2085" s="156">
        <v>282012.69</v>
      </c>
      <c r="G2085" s="131">
        <f t="shared" si="148"/>
        <v>50536.674048000001</v>
      </c>
      <c r="H2085" s="156">
        <v>831.51</v>
      </c>
      <c r="I2085" s="156">
        <v>0</v>
      </c>
      <c r="J2085" s="156">
        <v>0</v>
      </c>
      <c r="K2085" s="131">
        <f t="shared" si="149"/>
        <v>831.51</v>
      </c>
      <c r="L2085" s="134">
        <v>0.1792</v>
      </c>
    </row>
    <row r="2086" spans="3:12">
      <c r="C2086" s="161">
        <f t="shared" si="147"/>
        <v>2019</v>
      </c>
      <c r="D2086" s="35" t="s">
        <v>291</v>
      </c>
      <c r="E2086" s="227">
        <v>43617</v>
      </c>
      <c r="F2086" s="156">
        <v>261468.98</v>
      </c>
      <c r="G2086" s="131">
        <f t="shared" si="148"/>
        <v>46855.241216000002</v>
      </c>
      <c r="H2086" s="156">
        <v>2291.62</v>
      </c>
      <c r="I2086" s="156">
        <v>0</v>
      </c>
      <c r="J2086" s="156">
        <v>0</v>
      </c>
      <c r="K2086" s="131">
        <f t="shared" si="149"/>
        <v>2291.62</v>
      </c>
      <c r="L2086" s="134">
        <v>0.1792</v>
      </c>
    </row>
    <row r="2087" spans="3:12">
      <c r="C2087" s="161">
        <f t="shared" si="147"/>
        <v>2019</v>
      </c>
      <c r="D2087" s="35" t="s">
        <v>291</v>
      </c>
      <c r="E2087" s="227">
        <v>43647</v>
      </c>
      <c r="F2087" s="156">
        <v>267644.24</v>
      </c>
      <c r="G2087" s="131">
        <f t="shared" si="148"/>
        <v>47961.847807999999</v>
      </c>
      <c r="H2087" s="156">
        <v>773.38</v>
      </c>
      <c r="I2087" s="156">
        <v>0</v>
      </c>
      <c r="J2087" s="156">
        <v>1816.3</v>
      </c>
      <c r="K2087" s="131">
        <f t="shared" si="149"/>
        <v>2589.6799999999998</v>
      </c>
      <c r="L2087" s="134">
        <v>0.1792</v>
      </c>
    </row>
    <row r="2088" spans="3:12">
      <c r="C2088" s="161">
        <f t="shared" si="147"/>
        <v>2019</v>
      </c>
      <c r="D2088" s="35" t="s">
        <v>291</v>
      </c>
      <c r="E2088" s="227">
        <v>43678</v>
      </c>
      <c r="F2088" s="156">
        <v>294099.25</v>
      </c>
      <c r="G2088" s="131">
        <f t="shared" si="148"/>
        <v>52702.585599999999</v>
      </c>
      <c r="H2088" s="156">
        <v>914.35</v>
      </c>
      <c r="I2088" s="156">
        <v>964.86</v>
      </c>
      <c r="J2088" s="156">
        <v>0</v>
      </c>
      <c r="K2088" s="131">
        <f t="shared" si="149"/>
        <v>1879.21</v>
      </c>
      <c r="L2088" s="134">
        <v>0.1792</v>
      </c>
    </row>
    <row r="2089" spans="3:12">
      <c r="C2089" s="161">
        <f t="shared" si="147"/>
        <v>2019</v>
      </c>
      <c r="D2089" s="35" t="s">
        <v>291</v>
      </c>
      <c r="E2089" s="227">
        <v>43709</v>
      </c>
      <c r="F2089" s="156">
        <v>303240.38</v>
      </c>
      <c r="G2089" s="131">
        <f t="shared" si="148"/>
        <v>54340.676096000003</v>
      </c>
      <c r="H2089" s="156">
        <v>1275.57</v>
      </c>
      <c r="I2089" s="156">
        <v>0</v>
      </c>
      <c r="J2089" s="156">
        <v>0</v>
      </c>
      <c r="K2089" s="131">
        <f t="shared" si="149"/>
        <v>1275.57</v>
      </c>
      <c r="L2089" s="134">
        <v>0.1792</v>
      </c>
    </row>
    <row r="2090" spans="3:12">
      <c r="C2090" s="161">
        <f t="shared" si="147"/>
        <v>2019</v>
      </c>
      <c r="D2090" s="35" t="s">
        <v>291</v>
      </c>
      <c r="E2090" s="227">
        <v>43739</v>
      </c>
      <c r="F2090" s="156">
        <v>313717.74</v>
      </c>
      <c r="G2090" s="131">
        <f t="shared" si="148"/>
        <v>56218.219008</v>
      </c>
      <c r="H2090" s="156">
        <v>1018.17</v>
      </c>
      <c r="I2090" s="156">
        <v>0</v>
      </c>
      <c r="J2090" s="156">
        <v>0</v>
      </c>
      <c r="K2090" s="131">
        <f t="shared" si="149"/>
        <v>1018.17</v>
      </c>
      <c r="L2090" s="134">
        <v>0.1792</v>
      </c>
    </row>
    <row r="2091" spans="3:12">
      <c r="C2091" s="161">
        <f t="shared" si="147"/>
        <v>2019</v>
      </c>
      <c r="D2091" s="35" t="s">
        <v>291</v>
      </c>
      <c r="E2091" s="227">
        <v>43770</v>
      </c>
      <c r="F2091" s="156">
        <v>328110.83</v>
      </c>
      <c r="G2091" s="131">
        <f t="shared" si="148"/>
        <v>58797.460736000001</v>
      </c>
      <c r="H2091" s="156">
        <v>501.86</v>
      </c>
      <c r="I2091" s="156">
        <v>0</v>
      </c>
      <c r="J2091" s="156">
        <v>0</v>
      </c>
      <c r="K2091" s="131">
        <f t="shared" si="149"/>
        <v>501.86</v>
      </c>
      <c r="L2091" s="134">
        <v>0.1792</v>
      </c>
    </row>
    <row r="2092" spans="3:12">
      <c r="C2092" s="161">
        <f t="shared" si="147"/>
        <v>2019</v>
      </c>
      <c r="D2092" s="35" t="s">
        <v>291</v>
      </c>
      <c r="E2092" s="227">
        <v>43800</v>
      </c>
      <c r="F2092" s="156">
        <v>308725.96999999997</v>
      </c>
      <c r="G2092" s="131">
        <f t="shared" si="148"/>
        <v>55323.693823999994</v>
      </c>
      <c r="H2092" s="156">
        <v>991.06</v>
      </c>
      <c r="I2092" s="156">
        <v>433.31</v>
      </c>
      <c r="J2092" s="156">
        <v>0</v>
      </c>
      <c r="K2092" s="131">
        <f t="shared" si="149"/>
        <v>1424.37</v>
      </c>
      <c r="L2092" s="134">
        <v>0.1792</v>
      </c>
    </row>
    <row r="2093" spans="3:12">
      <c r="C2093" s="161">
        <f t="shared" si="147"/>
        <v>2020</v>
      </c>
      <c r="D2093" s="35" t="s">
        <v>291</v>
      </c>
      <c r="E2093" s="227">
        <v>43831</v>
      </c>
      <c r="F2093" s="156">
        <v>313513.45</v>
      </c>
      <c r="G2093" s="131">
        <f t="shared" si="148"/>
        <v>56181.610240000002</v>
      </c>
      <c r="H2093" s="156">
        <v>735.23</v>
      </c>
      <c r="I2093" s="156">
        <v>350.95</v>
      </c>
      <c r="J2093" s="156">
        <v>0</v>
      </c>
      <c r="K2093" s="131">
        <f t="shared" si="149"/>
        <v>1086.18</v>
      </c>
      <c r="L2093" s="134">
        <v>0.1792</v>
      </c>
    </row>
    <row r="2094" spans="3:12">
      <c r="C2094" s="161">
        <f t="shared" si="147"/>
        <v>2020</v>
      </c>
      <c r="D2094" s="35" t="s">
        <v>291</v>
      </c>
      <c r="E2094" s="227">
        <v>43862</v>
      </c>
      <c r="F2094" s="156">
        <v>304680.37</v>
      </c>
      <c r="G2094" s="131">
        <f t="shared" si="148"/>
        <v>54598.722303999995</v>
      </c>
      <c r="H2094" s="156">
        <v>1383.44</v>
      </c>
      <c r="I2094" s="156">
        <v>1491.83</v>
      </c>
      <c r="J2094" s="156">
        <v>0</v>
      </c>
      <c r="K2094" s="131">
        <f t="shared" si="149"/>
        <v>2875.27</v>
      </c>
      <c r="L2094" s="134">
        <v>0.1792</v>
      </c>
    </row>
    <row r="2095" spans="3:12">
      <c r="C2095" s="161">
        <f t="shared" si="147"/>
        <v>2020</v>
      </c>
      <c r="D2095" s="35" t="s">
        <v>291</v>
      </c>
      <c r="E2095" s="227">
        <v>43891</v>
      </c>
      <c r="F2095" s="156">
        <v>299350.2732</v>
      </c>
      <c r="G2095" s="131">
        <f t="shared" si="148"/>
        <v>53643.568957440002</v>
      </c>
      <c r="H2095" s="156">
        <v>2405.77</v>
      </c>
      <c r="I2095" s="156">
        <v>5727.38</v>
      </c>
      <c r="J2095" s="156">
        <v>0</v>
      </c>
      <c r="K2095" s="131">
        <f t="shared" si="149"/>
        <v>8133.15</v>
      </c>
      <c r="L2095" s="134">
        <v>0.1792</v>
      </c>
    </row>
    <row r="2096" spans="3:12">
      <c r="C2096" s="161">
        <f t="shared" si="147"/>
        <v>2020</v>
      </c>
      <c r="D2096" s="35" t="s">
        <v>291</v>
      </c>
      <c r="E2096" s="227">
        <v>43922</v>
      </c>
      <c r="F2096" s="156">
        <v>306667.5183</v>
      </c>
      <c r="G2096" s="131">
        <f t="shared" si="148"/>
        <v>54954.819279359996</v>
      </c>
      <c r="H2096" s="156">
        <v>392.44</v>
      </c>
      <c r="I2096" s="156">
        <v>2898.63</v>
      </c>
      <c r="J2096" s="156">
        <v>0</v>
      </c>
      <c r="K2096" s="131">
        <f t="shared" si="149"/>
        <v>3291.07</v>
      </c>
      <c r="L2096" s="134">
        <v>0.1792</v>
      </c>
    </row>
    <row r="2097" spans="3:12">
      <c r="C2097" s="161">
        <f t="shared" si="147"/>
        <v>2020</v>
      </c>
      <c r="D2097" s="35" t="s">
        <v>291</v>
      </c>
      <c r="E2097" s="227">
        <v>43952</v>
      </c>
      <c r="F2097" s="156">
        <v>288177.71000000002</v>
      </c>
      <c r="G2097" s="131">
        <f t="shared" si="148"/>
        <v>51641.445632000003</v>
      </c>
      <c r="H2097" s="156">
        <v>969.38</v>
      </c>
      <c r="I2097" s="156">
        <v>0</v>
      </c>
      <c r="J2097" s="156">
        <v>0</v>
      </c>
      <c r="K2097" s="131">
        <f t="shared" si="149"/>
        <v>969.38</v>
      </c>
      <c r="L2097" s="134">
        <v>0.1792</v>
      </c>
    </row>
    <row r="2098" spans="3:12">
      <c r="C2098" s="161">
        <f t="shared" si="147"/>
        <v>2020</v>
      </c>
      <c r="D2098" s="35" t="s">
        <v>291</v>
      </c>
      <c r="E2098" s="227">
        <v>43983</v>
      </c>
      <c r="F2098" s="156">
        <v>286402.46999999997</v>
      </c>
      <c r="G2098" s="131">
        <f t="shared" si="148"/>
        <v>51323.322623999993</v>
      </c>
      <c r="H2098" s="156">
        <v>2539.98</v>
      </c>
      <c r="I2098" s="156">
        <v>1058.4000000000001</v>
      </c>
      <c r="J2098" s="156">
        <v>0</v>
      </c>
      <c r="K2098" s="131">
        <f t="shared" si="149"/>
        <v>3598.38</v>
      </c>
      <c r="L2098" s="134">
        <v>0.1792</v>
      </c>
    </row>
    <row r="2099" spans="3:12">
      <c r="C2099" s="161">
        <f t="shared" si="147"/>
        <v>2020</v>
      </c>
      <c r="D2099" s="35" t="s">
        <v>291</v>
      </c>
      <c r="E2099" s="227">
        <v>44013</v>
      </c>
      <c r="F2099" s="156">
        <v>276965.43</v>
      </c>
      <c r="G2099" s="131">
        <f t="shared" si="148"/>
        <v>49632.205055999999</v>
      </c>
      <c r="H2099" s="156">
        <v>9386.1299999999992</v>
      </c>
      <c r="I2099" s="156">
        <v>811.49</v>
      </c>
      <c r="J2099" s="156">
        <v>0</v>
      </c>
      <c r="K2099" s="131">
        <f t="shared" si="149"/>
        <v>10197.619999999999</v>
      </c>
      <c r="L2099" s="134">
        <v>0.1792</v>
      </c>
    </row>
    <row r="2100" spans="3:12">
      <c r="C2100" s="161">
        <f t="shared" si="147"/>
        <v>2020</v>
      </c>
      <c r="D2100" s="35" t="s">
        <v>291</v>
      </c>
      <c r="E2100" s="227">
        <v>44044</v>
      </c>
      <c r="F2100" s="156">
        <v>294539.52000000002</v>
      </c>
      <c r="G2100" s="131">
        <f t="shared" si="148"/>
        <v>52781.481984000005</v>
      </c>
      <c r="H2100" s="156">
        <v>4921.5600000000004</v>
      </c>
      <c r="I2100" s="156">
        <v>2391.4299999999998</v>
      </c>
      <c r="J2100" s="156">
        <v>0</v>
      </c>
      <c r="K2100" s="131">
        <f t="shared" si="149"/>
        <v>7312.99</v>
      </c>
      <c r="L2100" s="134">
        <v>0.1792</v>
      </c>
    </row>
    <row r="2101" spans="3:12">
      <c r="C2101" s="161">
        <f t="shared" si="147"/>
        <v>2020</v>
      </c>
      <c r="D2101" s="35" t="s">
        <v>291</v>
      </c>
      <c r="E2101" s="227">
        <v>44075</v>
      </c>
      <c r="F2101" s="156">
        <v>313500.75</v>
      </c>
      <c r="G2101" s="131">
        <f t="shared" si="148"/>
        <v>56179.3344</v>
      </c>
      <c r="H2101" s="156">
        <v>581.35</v>
      </c>
      <c r="I2101" s="156">
        <v>14185.09</v>
      </c>
      <c r="J2101" s="156">
        <v>0</v>
      </c>
      <c r="K2101" s="131">
        <f t="shared" si="149"/>
        <v>14766.44</v>
      </c>
      <c r="L2101" s="134">
        <v>0.1792</v>
      </c>
    </row>
    <row r="2102" spans="3:12">
      <c r="C2102" s="161">
        <f t="shared" si="147"/>
        <v>2020</v>
      </c>
      <c r="D2102" s="35" t="s">
        <v>291</v>
      </c>
      <c r="E2102" s="227">
        <v>44105</v>
      </c>
      <c r="F2102" s="156">
        <v>352631.73</v>
      </c>
      <c r="G2102" s="131">
        <f t="shared" si="148"/>
        <v>63191.606015999998</v>
      </c>
      <c r="H2102" s="156">
        <v>332798.59000000003</v>
      </c>
      <c r="I2102" s="156">
        <v>91.45</v>
      </c>
      <c r="J2102" s="156">
        <v>0</v>
      </c>
      <c r="K2102" s="131">
        <f t="shared" si="149"/>
        <v>332890.04000000004</v>
      </c>
      <c r="L2102" s="134">
        <v>0.1792</v>
      </c>
    </row>
    <row r="2103" spans="3:12">
      <c r="C2103" s="161">
        <f t="shared" si="147"/>
        <v>2020</v>
      </c>
      <c r="D2103" s="35" t="s">
        <v>291</v>
      </c>
      <c r="E2103" s="227">
        <v>44136</v>
      </c>
      <c r="F2103" s="156">
        <v>331682.2</v>
      </c>
      <c r="G2103" s="131">
        <f t="shared" si="148"/>
        <v>59437.450239999998</v>
      </c>
      <c r="H2103" s="156">
        <v>1051.6400000000001</v>
      </c>
      <c r="I2103" s="156">
        <v>2332.34</v>
      </c>
      <c r="J2103" s="156">
        <v>0</v>
      </c>
      <c r="K2103" s="131">
        <f t="shared" si="149"/>
        <v>3383.9800000000005</v>
      </c>
      <c r="L2103" s="134">
        <v>0.1792</v>
      </c>
    </row>
    <row r="2104" spans="3:12">
      <c r="C2104" s="161">
        <f t="shared" si="147"/>
        <v>2020</v>
      </c>
      <c r="D2104" s="35" t="s">
        <v>291</v>
      </c>
      <c r="E2104" s="227">
        <v>44166</v>
      </c>
      <c r="F2104" s="156">
        <v>331477.03000000003</v>
      </c>
      <c r="G2104" s="131">
        <f t="shared" si="148"/>
        <v>59400.683776000005</v>
      </c>
      <c r="H2104" s="156">
        <v>893.38</v>
      </c>
      <c r="I2104" s="156">
        <v>91.45</v>
      </c>
      <c r="J2104" s="156">
        <v>0</v>
      </c>
      <c r="K2104" s="131">
        <f t="shared" si="149"/>
        <v>984.83</v>
      </c>
      <c r="L2104" s="134">
        <v>0.1792</v>
      </c>
    </row>
    <row r="2105" spans="3:12">
      <c r="C2105" s="161">
        <f t="shared" si="147"/>
        <v>2021</v>
      </c>
      <c r="D2105" s="35" t="s">
        <v>291</v>
      </c>
      <c r="E2105" s="227">
        <v>44197</v>
      </c>
      <c r="F2105" s="156">
        <v>323544.15000000002</v>
      </c>
      <c r="G2105" s="131">
        <f t="shared" si="148"/>
        <v>57979.111680000002</v>
      </c>
      <c r="H2105" s="156">
        <v>220.69</v>
      </c>
      <c r="I2105" s="156">
        <v>1884.55</v>
      </c>
      <c r="J2105" s="156">
        <v>0</v>
      </c>
      <c r="K2105" s="131">
        <f t="shared" si="149"/>
        <v>2105.2399999999998</v>
      </c>
      <c r="L2105" s="134">
        <v>0.1792</v>
      </c>
    </row>
    <row r="2106" spans="3:12">
      <c r="C2106" s="161">
        <f t="shared" si="147"/>
        <v>2021</v>
      </c>
      <c r="D2106" s="35" t="s">
        <v>291</v>
      </c>
      <c r="E2106" s="227">
        <v>44229</v>
      </c>
      <c r="F2106" s="156">
        <v>307312.59999999998</v>
      </c>
      <c r="G2106" s="131">
        <f t="shared" si="148"/>
        <v>55070.417919999993</v>
      </c>
      <c r="H2106" s="156">
        <v>634.77</v>
      </c>
      <c r="I2106" s="156">
        <v>91.45</v>
      </c>
      <c r="J2106" s="156">
        <v>0</v>
      </c>
      <c r="K2106" s="131">
        <f t="shared" si="149"/>
        <v>726.22</v>
      </c>
      <c r="L2106" s="134">
        <v>0.1792</v>
      </c>
    </row>
    <row r="2107" spans="3:12">
      <c r="C2107" s="161">
        <f t="shared" si="147"/>
        <v>2021</v>
      </c>
      <c r="D2107" s="35" t="s">
        <v>291</v>
      </c>
      <c r="E2107" s="227">
        <v>44258</v>
      </c>
      <c r="F2107" s="156">
        <v>314106.25</v>
      </c>
      <c r="G2107" s="131">
        <f t="shared" si="148"/>
        <v>56287.839999999997</v>
      </c>
      <c r="H2107" s="156">
        <v>837.2</v>
      </c>
      <c r="I2107" s="156">
        <v>326.94</v>
      </c>
      <c r="J2107" s="156">
        <v>0</v>
      </c>
      <c r="K2107" s="131">
        <f t="shared" si="149"/>
        <v>1164.1400000000001</v>
      </c>
      <c r="L2107" s="134">
        <v>0.1792</v>
      </c>
    </row>
    <row r="2108" spans="3:12">
      <c r="C2108" s="161">
        <f t="shared" si="147"/>
        <v>2021</v>
      </c>
      <c r="D2108" s="35" t="s">
        <v>291</v>
      </c>
      <c r="E2108" s="227">
        <v>44290</v>
      </c>
      <c r="F2108" s="156">
        <v>335273.68</v>
      </c>
      <c r="G2108" s="131">
        <f t="shared" si="148"/>
        <v>60081.043455999999</v>
      </c>
      <c r="H2108" s="156">
        <v>8163.05</v>
      </c>
      <c r="I2108" s="156">
        <v>7431.95</v>
      </c>
      <c r="J2108" s="156">
        <v>0</v>
      </c>
      <c r="K2108" s="131">
        <f t="shared" si="149"/>
        <v>15595</v>
      </c>
      <c r="L2108" s="134">
        <v>0.1792</v>
      </c>
    </row>
    <row r="2109" spans="3:12">
      <c r="C2109" s="161">
        <f t="shared" si="147"/>
        <v>2021</v>
      </c>
      <c r="D2109" s="35" t="s">
        <v>291</v>
      </c>
      <c r="E2109" s="227">
        <v>44321</v>
      </c>
      <c r="F2109" s="156">
        <v>305890.46999999997</v>
      </c>
      <c r="G2109" s="131">
        <f t="shared" si="148"/>
        <v>54815.572223999996</v>
      </c>
      <c r="H2109" s="156">
        <v>650.32000000000005</v>
      </c>
      <c r="I2109" s="156">
        <v>433446.42</v>
      </c>
      <c r="J2109" s="156">
        <v>0</v>
      </c>
      <c r="K2109" s="131">
        <f t="shared" si="149"/>
        <v>434096.74</v>
      </c>
      <c r="L2109" s="134">
        <v>0.1792</v>
      </c>
    </row>
    <row r="2110" spans="3:12">
      <c r="C2110" s="161">
        <f t="shared" si="147"/>
        <v>2021</v>
      </c>
      <c r="D2110" s="35" t="s">
        <v>291</v>
      </c>
      <c r="E2110" s="227">
        <v>44353</v>
      </c>
      <c r="F2110" s="156">
        <v>311463.13</v>
      </c>
      <c r="G2110" s="131">
        <f t="shared" si="148"/>
        <v>55814.192896</v>
      </c>
      <c r="H2110" s="156">
        <v>550.83000000000004</v>
      </c>
      <c r="I2110" s="156">
        <v>435739.16</v>
      </c>
      <c r="J2110" s="156">
        <v>0</v>
      </c>
      <c r="K2110" s="131">
        <f t="shared" si="149"/>
        <v>436289.99</v>
      </c>
      <c r="L2110" s="134">
        <v>0.1792</v>
      </c>
    </row>
    <row r="2111" spans="3:12">
      <c r="C2111" s="161">
        <f t="shared" si="147"/>
        <v>2015</v>
      </c>
      <c r="D2111" s="35" t="s">
        <v>292</v>
      </c>
      <c r="E2111" s="227">
        <v>42309</v>
      </c>
      <c r="F2111" s="156">
        <v>125748.726675</v>
      </c>
      <c r="G2111" s="131">
        <f t="shared" si="148"/>
        <v>22534.171820159998</v>
      </c>
      <c r="H2111" s="156">
        <v>624.4</v>
      </c>
      <c r="I2111" s="156">
        <v>220440.79</v>
      </c>
      <c r="J2111" s="156">
        <v>0</v>
      </c>
      <c r="K2111" s="131">
        <f t="shared" si="149"/>
        <v>221065.19</v>
      </c>
      <c r="L2111" s="134">
        <v>0.1792</v>
      </c>
    </row>
    <row r="2112" spans="3:12">
      <c r="C2112" s="161">
        <f t="shared" si="147"/>
        <v>2015</v>
      </c>
      <c r="D2112" s="35" t="s">
        <v>292</v>
      </c>
      <c r="E2112" s="227">
        <v>42339</v>
      </c>
      <c r="F2112" s="156">
        <v>111813.85545</v>
      </c>
      <c r="G2112" s="131">
        <f t="shared" si="148"/>
        <v>20037.04289664</v>
      </c>
      <c r="H2112" s="156">
        <v>342.43</v>
      </c>
      <c r="I2112" s="156">
        <v>91238.8</v>
      </c>
      <c r="J2112" s="156">
        <v>0</v>
      </c>
      <c r="K2112" s="131">
        <f t="shared" si="149"/>
        <v>91581.23</v>
      </c>
      <c r="L2112" s="134">
        <v>0.1792</v>
      </c>
    </row>
    <row r="2113" spans="3:12">
      <c r="C2113" s="161">
        <f t="shared" si="147"/>
        <v>2016</v>
      </c>
      <c r="D2113" s="35" t="s">
        <v>292</v>
      </c>
      <c r="E2113" s="227">
        <v>42370</v>
      </c>
      <c r="F2113" s="156">
        <v>114458.555475</v>
      </c>
      <c r="G2113" s="131">
        <f t="shared" si="148"/>
        <v>20510.973141120001</v>
      </c>
      <c r="H2113" s="156">
        <v>497.92</v>
      </c>
      <c r="I2113" s="156">
        <v>197253.94</v>
      </c>
      <c r="J2113" s="156">
        <v>0</v>
      </c>
      <c r="K2113" s="131">
        <f t="shared" si="149"/>
        <v>197751.86000000002</v>
      </c>
      <c r="L2113" s="134">
        <v>0.1792</v>
      </c>
    </row>
    <row r="2114" spans="3:12">
      <c r="C2114" s="161">
        <f t="shared" si="147"/>
        <v>2016</v>
      </c>
      <c r="D2114" s="35" t="s">
        <v>292</v>
      </c>
      <c r="E2114" s="227">
        <v>42401</v>
      </c>
      <c r="F2114" s="156">
        <v>115909.702425</v>
      </c>
      <c r="G2114" s="131">
        <f t="shared" si="148"/>
        <v>20771.01867456</v>
      </c>
      <c r="H2114" s="156">
        <v>540.76</v>
      </c>
      <c r="I2114" s="156">
        <v>65780.86</v>
      </c>
      <c r="J2114" s="156">
        <v>0</v>
      </c>
      <c r="K2114" s="131">
        <f t="shared" si="149"/>
        <v>66321.62</v>
      </c>
      <c r="L2114" s="134">
        <v>0.1792</v>
      </c>
    </row>
    <row r="2115" spans="3:12">
      <c r="C2115" s="161">
        <f t="shared" si="147"/>
        <v>2016</v>
      </c>
      <c r="D2115" s="35" t="s">
        <v>292</v>
      </c>
      <c r="E2115" s="227">
        <v>42430</v>
      </c>
      <c r="F2115" s="156">
        <v>108302.33865000001</v>
      </c>
      <c r="G2115" s="131">
        <f t="shared" si="148"/>
        <v>19407.779086080001</v>
      </c>
      <c r="H2115" s="156">
        <v>127.38</v>
      </c>
      <c r="I2115" s="156">
        <v>41729.14</v>
      </c>
      <c r="J2115" s="156">
        <v>0</v>
      </c>
      <c r="K2115" s="131">
        <f t="shared" si="149"/>
        <v>41856.519999999997</v>
      </c>
      <c r="L2115" s="134">
        <v>0.1792</v>
      </c>
    </row>
    <row r="2116" spans="3:12">
      <c r="C2116" s="161">
        <f t="shared" ref="C2116:C2179" si="150">YEAR(E2116)</f>
        <v>2016</v>
      </c>
      <c r="D2116" s="35" t="s">
        <v>292</v>
      </c>
      <c r="E2116" s="227">
        <v>42461</v>
      </c>
      <c r="F2116" s="156">
        <v>126439.60642500001</v>
      </c>
      <c r="G2116" s="131">
        <f t="shared" ref="G2116:G2179" si="151">F2116*L2116</f>
        <v>22657.977471360002</v>
      </c>
      <c r="H2116" s="156">
        <v>55.07</v>
      </c>
      <c r="I2116" s="156">
        <v>108933.93</v>
      </c>
      <c r="J2116" s="156">
        <v>0</v>
      </c>
      <c r="K2116" s="131">
        <f t="shared" ref="K2116:K2179" si="152">SUM(H2116:J2116)</f>
        <v>108989</v>
      </c>
      <c r="L2116" s="134">
        <v>0.1792</v>
      </c>
    </row>
    <row r="2117" spans="3:12">
      <c r="C2117" s="161">
        <f t="shared" si="150"/>
        <v>2016</v>
      </c>
      <c r="D2117" s="35" t="s">
        <v>292</v>
      </c>
      <c r="E2117" s="227">
        <v>42491</v>
      </c>
      <c r="F2117" s="156">
        <v>110595.25537499999</v>
      </c>
      <c r="G2117" s="131">
        <f t="shared" si="151"/>
        <v>19818.6697632</v>
      </c>
      <c r="H2117" s="156">
        <v>35578.01</v>
      </c>
      <c r="I2117" s="156">
        <v>135059.93</v>
      </c>
      <c r="J2117" s="156">
        <v>0</v>
      </c>
      <c r="K2117" s="131">
        <f t="shared" si="152"/>
        <v>170637.94</v>
      </c>
      <c r="L2117" s="134">
        <v>0.1792</v>
      </c>
    </row>
    <row r="2118" spans="3:12">
      <c r="C2118" s="161">
        <f t="shared" si="150"/>
        <v>2016</v>
      </c>
      <c r="D2118" s="35" t="s">
        <v>292</v>
      </c>
      <c r="E2118" s="227">
        <v>42522</v>
      </c>
      <c r="F2118" s="156">
        <v>112671.796875</v>
      </c>
      <c r="G2118" s="131">
        <f t="shared" si="151"/>
        <v>20190.786</v>
      </c>
      <c r="H2118" s="156">
        <v>10536</v>
      </c>
      <c r="I2118" s="156">
        <v>138227.29</v>
      </c>
      <c r="J2118" s="156">
        <v>0</v>
      </c>
      <c r="K2118" s="131">
        <f t="shared" si="152"/>
        <v>148763.29</v>
      </c>
      <c r="L2118" s="134">
        <v>0.1792</v>
      </c>
    </row>
    <row r="2119" spans="3:12">
      <c r="C2119" s="161">
        <f t="shared" si="150"/>
        <v>2016</v>
      </c>
      <c r="D2119" s="35" t="s">
        <v>292</v>
      </c>
      <c r="E2119" s="227">
        <v>42552</v>
      </c>
      <c r="F2119" s="156">
        <v>127753.857</v>
      </c>
      <c r="G2119" s="131">
        <f t="shared" si="151"/>
        <v>22893.491174400002</v>
      </c>
      <c r="H2119" s="156">
        <v>278.16000000000003</v>
      </c>
      <c r="I2119" s="156">
        <v>247834.12</v>
      </c>
      <c r="J2119" s="156">
        <v>0</v>
      </c>
      <c r="K2119" s="131">
        <f t="shared" si="152"/>
        <v>248112.28</v>
      </c>
      <c r="L2119" s="134">
        <v>0.1792</v>
      </c>
    </row>
    <row r="2120" spans="3:12">
      <c r="C2120" s="161">
        <f t="shared" si="150"/>
        <v>2016</v>
      </c>
      <c r="D2120" s="35" t="s">
        <v>292</v>
      </c>
      <c r="E2120" s="227">
        <v>42583</v>
      </c>
      <c r="F2120" s="156">
        <v>137679.556575</v>
      </c>
      <c r="G2120" s="131">
        <f t="shared" si="151"/>
        <v>24672.176538239997</v>
      </c>
      <c r="H2120" s="156">
        <v>1146.1099999999999</v>
      </c>
      <c r="I2120" s="156">
        <v>443885.5</v>
      </c>
      <c r="J2120" s="156">
        <v>3980</v>
      </c>
      <c r="K2120" s="131">
        <f t="shared" si="152"/>
        <v>449011.61</v>
      </c>
      <c r="L2120" s="134">
        <v>0.1792</v>
      </c>
    </row>
    <row r="2121" spans="3:12">
      <c r="C2121" s="161">
        <f t="shared" si="150"/>
        <v>2016</v>
      </c>
      <c r="D2121" s="35" t="s">
        <v>292</v>
      </c>
      <c r="E2121" s="227">
        <v>42614</v>
      </c>
      <c r="F2121" s="156">
        <v>133865.58817500001</v>
      </c>
      <c r="G2121" s="131">
        <f t="shared" si="151"/>
        <v>23988.713400960001</v>
      </c>
      <c r="H2121" s="156">
        <v>375.9</v>
      </c>
      <c r="I2121" s="156">
        <v>320040.21999999997</v>
      </c>
      <c r="J2121" s="156">
        <v>0</v>
      </c>
      <c r="K2121" s="131">
        <f t="shared" si="152"/>
        <v>320416.12</v>
      </c>
      <c r="L2121" s="134">
        <v>0.1792</v>
      </c>
    </row>
    <row r="2122" spans="3:12">
      <c r="C2122" s="161">
        <f t="shared" si="150"/>
        <v>2016</v>
      </c>
      <c r="D2122" s="35" t="s">
        <v>292</v>
      </c>
      <c r="E2122" s="227">
        <v>42644</v>
      </c>
      <c r="F2122" s="156">
        <v>135364.034025</v>
      </c>
      <c r="G2122" s="131">
        <f t="shared" si="151"/>
        <v>24257.234897279999</v>
      </c>
      <c r="H2122" s="156">
        <v>936.51</v>
      </c>
      <c r="I2122" s="156">
        <v>17493.29</v>
      </c>
      <c r="J2122" s="156">
        <v>0</v>
      </c>
      <c r="K2122" s="131">
        <f t="shared" si="152"/>
        <v>18429.8</v>
      </c>
      <c r="L2122" s="134">
        <v>0.1792</v>
      </c>
    </row>
    <row r="2123" spans="3:12">
      <c r="C2123" s="161">
        <f t="shared" si="150"/>
        <v>2016</v>
      </c>
      <c r="D2123" s="35" t="s">
        <v>292</v>
      </c>
      <c r="E2123" s="227">
        <v>42675</v>
      </c>
      <c r="F2123" s="156">
        <v>125846.936325</v>
      </c>
      <c r="G2123" s="131">
        <f t="shared" si="151"/>
        <v>22551.77098944</v>
      </c>
      <c r="H2123" s="156">
        <v>1608.96</v>
      </c>
      <c r="I2123" s="156">
        <v>473940.36</v>
      </c>
      <c r="J2123" s="156">
        <v>0</v>
      </c>
      <c r="K2123" s="131">
        <f t="shared" si="152"/>
        <v>475549.32</v>
      </c>
      <c r="L2123" s="134">
        <v>0.1792</v>
      </c>
    </row>
    <row r="2124" spans="3:12">
      <c r="C2124" s="161">
        <f t="shared" si="150"/>
        <v>2016</v>
      </c>
      <c r="D2124" s="35" t="s">
        <v>292</v>
      </c>
      <c r="E2124" s="227">
        <v>42705</v>
      </c>
      <c r="F2124" s="156">
        <v>132741.722025</v>
      </c>
      <c r="G2124" s="131">
        <f t="shared" si="151"/>
        <v>23787.316586879999</v>
      </c>
      <c r="H2124" s="156">
        <v>4335.92</v>
      </c>
      <c r="I2124" s="156">
        <v>1112.25</v>
      </c>
      <c r="J2124" s="156">
        <v>212961.4</v>
      </c>
      <c r="K2124" s="131">
        <f t="shared" si="152"/>
        <v>218409.57</v>
      </c>
      <c r="L2124" s="134">
        <v>0.1792</v>
      </c>
    </row>
    <row r="2125" spans="3:12">
      <c r="C2125" s="161">
        <f t="shared" si="150"/>
        <v>2017</v>
      </c>
      <c r="D2125" s="35" t="s">
        <v>292</v>
      </c>
      <c r="E2125" s="227">
        <v>42736</v>
      </c>
      <c r="F2125" s="156">
        <v>126928.59465</v>
      </c>
      <c r="G2125" s="131">
        <f t="shared" si="151"/>
        <v>22745.60416128</v>
      </c>
      <c r="H2125" s="156">
        <v>343.26</v>
      </c>
      <c r="I2125" s="156">
        <v>0</v>
      </c>
      <c r="J2125" s="156">
        <v>0</v>
      </c>
      <c r="K2125" s="131">
        <f t="shared" si="152"/>
        <v>343.26</v>
      </c>
      <c r="L2125" s="134">
        <v>0.1792</v>
      </c>
    </row>
    <row r="2126" spans="3:12">
      <c r="C2126" s="161">
        <f t="shared" si="150"/>
        <v>2017</v>
      </c>
      <c r="D2126" s="35" t="s">
        <v>292</v>
      </c>
      <c r="E2126" s="227">
        <v>42767</v>
      </c>
      <c r="F2126" s="156">
        <v>127745.508</v>
      </c>
      <c r="G2126" s="131">
        <f t="shared" si="151"/>
        <v>22891.9950336</v>
      </c>
      <c r="H2126" s="156">
        <v>1812.85</v>
      </c>
      <c r="I2126" s="156">
        <v>0</v>
      </c>
      <c r="J2126" s="156">
        <v>184.2</v>
      </c>
      <c r="K2126" s="131">
        <f t="shared" si="152"/>
        <v>1997.05</v>
      </c>
      <c r="L2126" s="134">
        <v>0.1792</v>
      </c>
    </row>
    <row r="2127" spans="3:12">
      <c r="C2127" s="161">
        <f t="shared" si="150"/>
        <v>2017</v>
      </c>
      <c r="D2127" s="35" t="s">
        <v>292</v>
      </c>
      <c r="E2127" s="227">
        <v>42795</v>
      </c>
      <c r="F2127" s="156">
        <v>123878.49</v>
      </c>
      <c r="G2127" s="131">
        <f t="shared" si="151"/>
        <v>22199.025408000001</v>
      </c>
      <c r="H2127" s="156">
        <v>29268.17</v>
      </c>
      <c r="I2127" s="156">
        <v>0</v>
      </c>
      <c r="J2127" s="156">
        <v>2161.25</v>
      </c>
      <c r="K2127" s="131">
        <f t="shared" si="152"/>
        <v>31429.42</v>
      </c>
      <c r="L2127" s="134">
        <v>0.1792</v>
      </c>
    </row>
    <row r="2128" spans="3:12">
      <c r="C2128" s="161">
        <f t="shared" si="150"/>
        <v>2017</v>
      </c>
      <c r="D2128" s="35" t="s">
        <v>292</v>
      </c>
      <c r="E2128" s="227">
        <v>42826</v>
      </c>
      <c r="F2128" s="156">
        <v>131647.56</v>
      </c>
      <c r="G2128" s="131">
        <f t="shared" si="151"/>
        <v>23591.242751999998</v>
      </c>
      <c r="H2128" s="156">
        <v>0</v>
      </c>
      <c r="I2128" s="156">
        <v>0</v>
      </c>
      <c r="J2128" s="156">
        <v>0</v>
      </c>
      <c r="K2128" s="131">
        <f t="shared" si="152"/>
        <v>0</v>
      </c>
      <c r="L2128" s="134">
        <v>0.1792</v>
      </c>
    </row>
    <row r="2129" spans="3:12">
      <c r="C2129" s="161">
        <f t="shared" si="150"/>
        <v>2017</v>
      </c>
      <c r="D2129" s="35" t="s">
        <v>292</v>
      </c>
      <c r="E2129" s="227">
        <v>42856</v>
      </c>
      <c r="F2129" s="156">
        <v>125081.31</v>
      </c>
      <c r="G2129" s="131">
        <f t="shared" si="151"/>
        <v>22414.570752</v>
      </c>
      <c r="H2129" s="156">
        <v>101.38</v>
      </c>
      <c r="I2129" s="156">
        <v>0</v>
      </c>
      <c r="J2129" s="156">
        <v>0</v>
      </c>
      <c r="K2129" s="131">
        <f t="shared" si="152"/>
        <v>101.38</v>
      </c>
      <c r="L2129" s="134">
        <v>0.1792</v>
      </c>
    </row>
    <row r="2130" spans="3:12">
      <c r="C2130" s="161">
        <f t="shared" si="150"/>
        <v>2017</v>
      </c>
      <c r="D2130" s="35" t="s">
        <v>292</v>
      </c>
      <c r="E2130" s="227">
        <v>42887</v>
      </c>
      <c r="F2130" s="156">
        <v>129794.24000000001</v>
      </c>
      <c r="G2130" s="131">
        <f t="shared" si="151"/>
        <v>23259.127808000001</v>
      </c>
      <c r="H2130" s="156">
        <v>3024.43</v>
      </c>
      <c r="I2130" s="156">
        <v>96965.27</v>
      </c>
      <c r="J2130" s="156">
        <v>0</v>
      </c>
      <c r="K2130" s="131">
        <f t="shared" si="152"/>
        <v>99989.7</v>
      </c>
      <c r="L2130" s="134">
        <v>0.1792</v>
      </c>
    </row>
    <row r="2131" spans="3:12">
      <c r="C2131" s="161">
        <f t="shared" si="150"/>
        <v>2017</v>
      </c>
      <c r="D2131" s="35" t="s">
        <v>292</v>
      </c>
      <c r="E2131" s="227">
        <v>42917</v>
      </c>
      <c r="F2131" s="156">
        <v>139509.53</v>
      </c>
      <c r="G2131" s="131">
        <f t="shared" si="151"/>
        <v>25000.107776000001</v>
      </c>
      <c r="H2131" s="156">
        <v>428.46</v>
      </c>
      <c r="I2131" s="156">
        <v>0</v>
      </c>
      <c r="J2131" s="156">
        <v>0</v>
      </c>
      <c r="K2131" s="131">
        <f t="shared" si="152"/>
        <v>428.46</v>
      </c>
      <c r="L2131" s="134">
        <v>0.1792</v>
      </c>
    </row>
    <row r="2132" spans="3:12">
      <c r="C2132" s="161">
        <f t="shared" si="150"/>
        <v>2017</v>
      </c>
      <c r="D2132" s="35" t="s">
        <v>292</v>
      </c>
      <c r="E2132" s="227">
        <v>42948</v>
      </c>
      <c r="F2132" s="156">
        <v>145166.85</v>
      </c>
      <c r="G2132" s="131">
        <f t="shared" si="151"/>
        <v>26013.899519999999</v>
      </c>
      <c r="H2132" s="156">
        <v>5605.77</v>
      </c>
      <c r="I2132" s="156">
        <v>0</v>
      </c>
      <c r="J2132" s="156">
        <v>0</v>
      </c>
      <c r="K2132" s="131">
        <f t="shared" si="152"/>
        <v>5605.77</v>
      </c>
      <c r="L2132" s="134">
        <v>0.1792</v>
      </c>
    </row>
    <row r="2133" spans="3:12">
      <c r="C2133" s="161">
        <f t="shared" si="150"/>
        <v>2017</v>
      </c>
      <c r="D2133" s="35" t="s">
        <v>292</v>
      </c>
      <c r="E2133" s="227">
        <v>42979</v>
      </c>
      <c r="F2133" s="156">
        <v>159302.29</v>
      </c>
      <c r="G2133" s="131">
        <f t="shared" si="151"/>
        <v>28546.970368000002</v>
      </c>
      <c r="H2133" s="156">
        <v>213140.56</v>
      </c>
      <c r="I2133" s="156">
        <v>0</v>
      </c>
      <c r="J2133" s="156">
        <v>0</v>
      </c>
      <c r="K2133" s="131">
        <f t="shared" si="152"/>
        <v>213140.56</v>
      </c>
      <c r="L2133" s="134">
        <v>0.1792</v>
      </c>
    </row>
    <row r="2134" spans="3:12">
      <c r="C2134" s="161">
        <f t="shared" si="150"/>
        <v>2017</v>
      </c>
      <c r="D2134" s="35" t="s">
        <v>292</v>
      </c>
      <c r="E2134" s="227">
        <v>43009</v>
      </c>
      <c r="F2134" s="156">
        <v>151340.4</v>
      </c>
      <c r="G2134" s="131">
        <f t="shared" si="151"/>
        <v>27120.199679999998</v>
      </c>
      <c r="H2134" s="156">
        <v>15239.81</v>
      </c>
      <c r="I2134" s="156">
        <v>-0.02</v>
      </c>
      <c r="J2134" s="156">
        <v>0</v>
      </c>
      <c r="K2134" s="131">
        <f t="shared" si="152"/>
        <v>15239.789999999999</v>
      </c>
      <c r="L2134" s="134">
        <v>0.1792</v>
      </c>
    </row>
    <row r="2135" spans="3:12">
      <c r="C2135" s="161">
        <f t="shared" si="150"/>
        <v>2017</v>
      </c>
      <c r="D2135" s="35" t="s">
        <v>292</v>
      </c>
      <c r="E2135" s="227">
        <v>43040</v>
      </c>
      <c r="F2135" s="156">
        <v>146332.24</v>
      </c>
      <c r="G2135" s="131">
        <f t="shared" si="151"/>
        <v>26222.737407999997</v>
      </c>
      <c r="H2135" s="156">
        <v>506147.82</v>
      </c>
      <c r="I2135" s="156">
        <v>0</v>
      </c>
      <c r="J2135" s="156">
        <v>0</v>
      </c>
      <c r="K2135" s="131">
        <f t="shared" si="152"/>
        <v>506147.82</v>
      </c>
      <c r="L2135" s="134">
        <v>0.1792</v>
      </c>
    </row>
    <row r="2136" spans="3:12">
      <c r="C2136" s="161">
        <f t="shared" si="150"/>
        <v>2017</v>
      </c>
      <c r="D2136" s="35" t="s">
        <v>292</v>
      </c>
      <c r="E2136" s="227">
        <v>43070</v>
      </c>
      <c r="F2136" s="156">
        <v>137631.35</v>
      </c>
      <c r="G2136" s="131">
        <f t="shared" si="151"/>
        <v>24663.537920000002</v>
      </c>
      <c r="H2136" s="156">
        <v>254985.61</v>
      </c>
      <c r="I2136" s="156">
        <v>0</v>
      </c>
      <c r="J2136" s="156">
        <v>0</v>
      </c>
      <c r="K2136" s="131">
        <f t="shared" si="152"/>
        <v>254985.61</v>
      </c>
      <c r="L2136" s="134">
        <v>0.1792</v>
      </c>
    </row>
    <row r="2137" spans="3:12">
      <c r="C2137" s="161">
        <f t="shared" si="150"/>
        <v>2018</v>
      </c>
      <c r="D2137" s="35" t="s">
        <v>292</v>
      </c>
      <c r="E2137" s="227">
        <v>43101</v>
      </c>
      <c r="F2137" s="156">
        <v>138128.38</v>
      </c>
      <c r="G2137" s="131">
        <f t="shared" si="151"/>
        <v>24752.605696000002</v>
      </c>
      <c r="H2137" s="156">
        <v>561018.69999999995</v>
      </c>
      <c r="I2137" s="156">
        <v>0</v>
      </c>
      <c r="J2137" s="156">
        <v>0</v>
      </c>
      <c r="K2137" s="131">
        <f t="shared" si="152"/>
        <v>561018.69999999995</v>
      </c>
      <c r="L2137" s="134">
        <v>0.1792</v>
      </c>
    </row>
    <row r="2138" spans="3:12">
      <c r="C2138" s="161">
        <f t="shared" si="150"/>
        <v>2018</v>
      </c>
      <c r="D2138" s="35" t="s">
        <v>292</v>
      </c>
      <c r="E2138" s="227">
        <v>43132</v>
      </c>
      <c r="F2138" s="156">
        <v>139329.01</v>
      </c>
      <c r="G2138" s="131">
        <f t="shared" si="151"/>
        <v>24967.758592000002</v>
      </c>
      <c r="H2138" s="156">
        <v>29755.279999999999</v>
      </c>
      <c r="I2138" s="156">
        <v>0</v>
      </c>
      <c r="J2138" s="156">
        <v>0</v>
      </c>
      <c r="K2138" s="131">
        <f t="shared" si="152"/>
        <v>29755.279999999999</v>
      </c>
      <c r="L2138" s="134">
        <v>0.1792</v>
      </c>
    </row>
    <row r="2139" spans="3:12">
      <c r="C2139" s="161">
        <f t="shared" si="150"/>
        <v>2018</v>
      </c>
      <c r="D2139" s="35" t="s">
        <v>292</v>
      </c>
      <c r="E2139" s="227">
        <v>43160</v>
      </c>
      <c r="F2139" s="156">
        <v>129712.34</v>
      </c>
      <c r="G2139" s="131">
        <f t="shared" si="151"/>
        <v>23244.451327999999</v>
      </c>
      <c r="H2139" s="156">
        <v>117.38</v>
      </c>
      <c r="I2139" s="156">
        <v>0</v>
      </c>
      <c r="J2139" s="156">
        <v>0</v>
      </c>
      <c r="K2139" s="131">
        <f t="shared" si="152"/>
        <v>117.38</v>
      </c>
      <c r="L2139" s="134">
        <v>0.1792</v>
      </c>
    </row>
    <row r="2140" spans="3:12">
      <c r="C2140" s="161">
        <f t="shared" si="150"/>
        <v>2018</v>
      </c>
      <c r="D2140" s="35" t="s">
        <v>292</v>
      </c>
      <c r="E2140" s="227">
        <v>43191</v>
      </c>
      <c r="F2140" s="156">
        <v>141169.89000000001</v>
      </c>
      <c r="G2140" s="131">
        <f t="shared" si="151"/>
        <v>25297.644288000003</v>
      </c>
      <c r="H2140" s="156">
        <v>1082.44</v>
      </c>
      <c r="I2140" s="156">
        <v>0</v>
      </c>
      <c r="J2140" s="156">
        <v>0</v>
      </c>
      <c r="K2140" s="131">
        <f t="shared" si="152"/>
        <v>1082.44</v>
      </c>
      <c r="L2140" s="134">
        <v>0.1792</v>
      </c>
    </row>
    <row r="2141" spans="3:12">
      <c r="C2141" s="161">
        <f t="shared" si="150"/>
        <v>2018</v>
      </c>
      <c r="D2141" s="35" t="s">
        <v>292</v>
      </c>
      <c r="E2141" s="227">
        <v>43221</v>
      </c>
      <c r="F2141" s="156">
        <v>157077.81</v>
      </c>
      <c r="G2141" s="131">
        <f t="shared" si="151"/>
        <v>28148.343551999998</v>
      </c>
      <c r="H2141" s="156">
        <v>0</v>
      </c>
      <c r="I2141" s="156">
        <v>0</v>
      </c>
      <c r="J2141" s="156">
        <v>0</v>
      </c>
      <c r="K2141" s="131">
        <f t="shared" si="152"/>
        <v>0</v>
      </c>
      <c r="L2141" s="134">
        <v>0.1792</v>
      </c>
    </row>
    <row r="2142" spans="3:12">
      <c r="C2142" s="161">
        <f t="shared" si="150"/>
        <v>2018</v>
      </c>
      <c r="D2142" s="35" t="s">
        <v>292</v>
      </c>
      <c r="E2142" s="227">
        <v>43252</v>
      </c>
      <c r="F2142" s="156">
        <v>143170.71</v>
      </c>
      <c r="G2142" s="131">
        <f t="shared" si="151"/>
        <v>25656.191231999997</v>
      </c>
      <c r="H2142" s="156">
        <v>783.24</v>
      </c>
      <c r="I2142" s="156">
        <v>0.01</v>
      </c>
      <c r="J2142" s="156">
        <v>0</v>
      </c>
      <c r="K2142" s="131">
        <f t="shared" si="152"/>
        <v>783.25</v>
      </c>
      <c r="L2142" s="134">
        <v>0.1792</v>
      </c>
    </row>
    <row r="2143" spans="3:12">
      <c r="C2143" s="161">
        <f t="shared" si="150"/>
        <v>2018</v>
      </c>
      <c r="D2143" s="35" t="s">
        <v>292</v>
      </c>
      <c r="E2143" s="227">
        <v>43282</v>
      </c>
      <c r="F2143" s="156">
        <v>153944.56</v>
      </c>
      <c r="G2143" s="131">
        <f t="shared" si="151"/>
        <v>27586.865151999998</v>
      </c>
      <c r="H2143" s="156">
        <v>391.08</v>
      </c>
      <c r="I2143" s="156">
        <v>0</v>
      </c>
      <c r="J2143" s="156">
        <v>0</v>
      </c>
      <c r="K2143" s="131">
        <f t="shared" si="152"/>
        <v>391.08</v>
      </c>
      <c r="L2143" s="134">
        <v>0.1792</v>
      </c>
    </row>
    <row r="2144" spans="3:12">
      <c r="C2144" s="161">
        <f t="shared" si="150"/>
        <v>2018</v>
      </c>
      <c r="D2144" s="35" t="s">
        <v>292</v>
      </c>
      <c r="E2144" s="227">
        <v>43313</v>
      </c>
      <c r="F2144" s="156">
        <v>158467.03</v>
      </c>
      <c r="G2144" s="131">
        <f t="shared" si="151"/>
        <v>28397.291775999998</v>
      </c>
      <c r="H2144" s="156">
        <v>16076.93</v>
      </c>
      <c r="I2144" s="156">
        <v>0</v>
      </c>
      <c r="J2144" s="156">
        <v>0</v>
      </c>
      <c r="K2144" s="131">
        <f t="shared" si="152"/>
        <v>16076.93</v>
      </c>
      <c r="L2144" s="134">
        <v>0.1792</v>
      </c>
    </row>
    <row r="2145" spans="3:12">
      <c r="C2145" s="161">
        <f t="shared" si="150"/>
        <v>2018</v>
      </c>
      <c r="D2145" s="35" t="s">
        <v>292</v>
      </c>
      <c r="E2145" s="227">
        <v>43344</v>
      </c>
      <c r="F2145" s="156">
        <v>152833.76999999999</v>
      </c>
      <c r="G2145" s="131">
        <f t="shared" si="151"/>
        <v>27387.811583999999</v>
      </c>
      <c r="H2145" s="156">
        <v>89630.8</v>
      </c>
      <c r="I2145" s="156">
        <v>0</v>
      </c>
      <c r="J2145" s="156">
        <v>0</v>
      </c>
      <c r="K2145" s="131">
        <f t="shared" si="152"/>
        <v>89630.8</v>
      </c>
      <c r="L2145" s="134">
        <v>0.1792</v>
      </c>
    </row>
    <row r="2146" spans="3:12">
      <c r="C2146" s="161">
        <f t="shared" si="150"/>
        <v>2018</v>
      </c>
      <c r="D2146" s="35" t="s">
        <v>292</v>
      </c>
      <c r="E2146" s="227">
        <v>43374</v>
      </c>
      <c r="F2146" s="156">
        <v>157221.07999999999</v>
      </c>
      <c r="G2146" s="131">
        <f t="shared" si="151"/>
        <v>28174.017535999996</v>
      </c>
      <c r="H2146" s="156">
        <v>48881.32</v>
      </c>
      <c r="I2146" s="156">
        <v>0</v>
      </c>
      <c r="J2146" s="156">
        <v>1513.1</v>
      </c>
      <c r="K2146" s="131">
        <f t="shared" si="152"/>
        <v>50394.42</v>
      </c>
      <c r="L2146" s="134">
        <v>0.1792</v>
      </c>
    </row>
    <row r="2147" spans="3:12">
      <c r="C2147" s="161">
        <f t="shared" si="150"/>
        <v>2018</v>
      </c>
      <c r="D2147" s="35" t="s">
        <v>292</v>
      </c>
      <c r="E2147" s="227">
        <v>43405</v>
      </c>
      <c r="F2147" s="156">
        <v>159422.21294999999</v>
      </c>
      <c r="G2147" s="131">
        <f t="shared" si="151"/>
        <v>28568.460560639996</v>
      </c>
      <c r="H2147" s="156">
        <v>0</v>
      </c>
      <c r="I2147" s="156">
        <v>0</v>
      </c>
      <c r="J2147" s="156">
        <v>0</v>
      </c>
      <c r="K2147" s="131">
        <f t="shared" si="152"/>
        <v>0</v>
      </c>
      <c r="L2147" s="134">
        <v>0.1792</v>
      </c>
    </row>
    <row r="2148" spans="3:12">
      <c r="C2148" s="161">
        <f t="shared" si="150"/>
        <v>2018</v>
      </c>
      <c r="D2148" s="35" t="s">
        <v>292</v>
      </c>
      <c r="E2148" s="227">
        <v>43435</v>
      </c>
      <c r="F2148" s="156">
        <v>150247.26999999999</v>
      </c>
      <c r="G2148" s="131">
        <f t="shared" si="151"/>
        <v>26924.310783999998</v>
      </c>
      <c r="H2148" s="156">
        <v>16176.9</v>
      </c>
      <c r="I2148" s="156">
        <v>0</v>
      </c>
      <c r="J2148" s="156">
        <v>1958</v>
      </c>
      <c r="K2148" s="131">
        <f t="shared" si="152"/>
        <v>18134.900000000001</v>
      </c>
      <c r="L2148" s="134">
        <v>0.1792</v>
      </c>
    </row>
    <row r="2149" spans="3:12">
      <c r="C2149" s="161">
        <f t="shared" si="150"/>
        <v>2019</v>
      </c>
      <c r="D2149" s="35" t="s">
        <v>292</v>
      </c>
      <c r="E2149" s="227">
        <v>43466</v>
      </c>
      <c r="F2149" s="156">
        <v>152443.73000000001</v>
      </c>
      <c r="G2149" s="131">
        <f t="shared" si="151"/>
        <v>27317.916416</v>
      </c>
      <c r="H2149" s="156">
        <v>577.05999999999995</v>
      </c>
      <c r="I2149" s="156">
        <v>0</v>
      </c>
      <c r="J2149" s="156">
        <v>0</v>
      </c>
      <c r="K2149" s="131">
        <f t="shared" si="152"/>
        <v>577.05999999999995</v>
      </c>
      <c r="L2149" s="134">
        <v>0.1792</v>
      </c>
    </row>
    <row r="2150" spans="3:12">
      <c r="C2150" s="161">
        <f t="shared" si="150"/>
        <v>2019</v>
      </c>
      <c r="D2150" s="35" t="s">
        <v>292</v>
      </c>
      <c r="E2150" s="227">
        <v>43497</v>
      </c>
      <c r="F2150" s="156">
        <v>155519.56</v>
      </c>
      <c r="G2150" s="131">
        <f t="shared" si="151"/>
        <v>27869.105152</v>
      </c>
      <c r="H2150" s="156">
        <v>350.29</v>
      </c>
      <c r="I2150" s="156">
        <v>66362.48</v>
      </c>
      <c r="J2150" s="156">
        <v>0</v>
      </c>
      <c r="K2150" s="131">
        <f t="shared" si="152"/>
        <v>66712.76999999999</v>
      </c>
      <c r="L2150" s="134">
        <v>0.1792</v>
      </c>
    </row>
    <row r="2151" spans="3:12">
      <c r="C2151" s="161">
        <f t="shared" si="150"/>
        <v>2019</v>
      </c>
      <c r="D2151" s="35" t="s">
        <v>292</v>
      </c>
      <c r="E2151" s="227">
        <v>43525</v>
      </c>
      <c r="F2151" s="156">
        <v>136401.69</v>
      </c>
      <c r="G2151" s="131">
        <f t="shared" si="151"/>
        <v>24443.182848</v>
      </c>
      <c r="H2151" s="156">
        <v>600.5</v>
      </c>
      <c r="I2151" s="156">
        <v>19864.25</v>
      </c>
      <c r="J2151" s="156">
        <v>0</v>
      </c>
      <c r="K2151" s="131">
        <f t="shared" si="152"/>
        <v>20464.75</v>
      </c>
      <c r="L2151" s="134">
        <v>0.1792</v>
      </c>
    </row>
    <row r="2152" spans="3:12">
      <c r="C2152" s="161">
        <f t="shared" si="150"/>
        <v>2019</v>
      </c>
      <c r="D2152" s="35" t="s">
        <v>292</v>
      </c>
      <c r="E2152" s="227">
        <v>43556</v>
      </c>
      <c r="F2152" s="156">
        <v>157304.85</v>
      </c>
      <c r="G2152" s="131">
        <f t="shared" si="151"/>
        <v>28189.029119999999</v>
      </c>
      <c r="H2152" s="156">
        <v>200.17</v>
      </c>
      <c r="I2152" s="156">
        <v>0</v>
      </c>
      <c r="J2152" s="156">
        <v>0</v>
      </c>
      <c r="K2152" s="131">
        <f t="shared" si="152"/>
        <v>200.17</v>
      </c>
      <c r="L2152" s="134">
        <v>0.1792</v>
      </c>
    </row>
    <row r="2153" spans="3:12">
      <c r="C2153" s="161">
        <f t="shared" si="150"/>
        <v>2019</v>
      </c>
      <c r="D2153" s="35" t="s">
        <v>292</v>
      </c>
      <c r="E2153" s="227">
        <v>43586</v>
      </c>
      <c r="F2153" s="156">
        <v>149039.71</v>
      </c>
      <c r="G2153" s="131">
        <f t="shared" si="151"/>
        <v>26707.916031999997</v>
      </c>
      <c r="H2153" s="156">
        <v>1064.77</v>
      </c>
      <c r="I2153" s="156">
        <v>0</v>
      </c>
      <c r="J2153" s="156">
        <v>0</v>
      </c>
      <c r="K2153" s="131">
        <f t="shared" si="152"/>
        <v>1064.77</v>
      </c>
      <c r="L2153" s="134">
        <v>0.1792</v>
      </c>
    </row>
    <row r="2154" spans="3:12">
      <c r="C2154" s="161">
        <f t="shared" si="150"/>
        <v>2019</v>
      </c>
      <c r="D2154" s="35" t="s">
        <v>292</v>
      </c>
      <c r="E2154" s="227">
        <v>43617</v>
      </c>
      <c r="F2154" s="156">
        <v>149325.51</v>
      </c>
      <c r="G2154" s="131">
        <f t="shared" si="151"/>
        <v>26759.131392000003</v>
      </c>
      <c r="H2154" s="156">
        <v>1052.1400000000001</v>
      </c>
      <c r="I2154" s="156">
        <v>0</v>
      </c>
      <c r="J2154" s="156">
        <v>0</v>
      </c>
      <c r="K2154" s="131">
        <f t="shared" si="152"/>
        <v>1052.1400000000001</v>
      </c>
      <c r="L2154" s="134">
        <v>0.1792</v>
      </c>
    </row>
    <row r="2155" spans="3:12">
      <c r="C2155" s="161">
        <f t="shared" si="150"/>
        <v>2019</v>
      </c>
      <c r="D2155" s="35" t="s">
        <v>292</v>
      </c>
      <c r="E2155" s="227">
        <v>43647</v>
      </c>
      <c r="F2155" s="156">
        <v>158228.96</v>
      </c>
      <c r="G2155" s="131">
        <f t="shared" si="151"/>
        <v>28354.629631999996</v>
      </c>
      <c r="H2155" s="156">
        <v>256.08</v>
      </c>
      <c r="I2155" s="156">
        <v>0</v>
      </c>
      <c r="J2155" s="156">
        <v>0</v>
      </c>
      <c r="K2155" s="131">
        <f t="shared" si="152"/>
        <v>256.08</v>
      </c>
      <c r="L2155" s="134">
        <v>0.1792</v>
      </c>
    </row>
    <row r="2156" spans="3:12">
      <c r="C2156" s="161">
        <f t="shared" si="150"/>
        <v>2019</v>
      </c>
      <c r="D2156" s="35" t="s">
        <v>292</v>
      </c>
      <c r="E2156" s="227">
        <v>43678</v>
      </c>
      <c r="F2156" s="156">
        <v>159866.4</v>
      </c>
      <c r="G2156" s="131">
        <f t="shared" si="151"/>
        <v>28648.058879999997</v>
      </c>
      <c r="H2156" s="156">
        <v>797.74</v>
      </c>
      <c r="I2156" s="156">
        <v>0</v>
      </c>
      <c r="J2156" s="156">
        <v>0</v>
      </c>
      <c r="K2156" s="131">
        <f t="shared" si="152"/>
        <v>797.74</v>
      </c>
      <c r="L2156" s="134">
        <v>0.1792</v>
      </c>
    </row>
    <row r="2157" spans="3:12">
      <c r="C2157" s="161">
        <f t="shared" si="150"/>
        <v>2019</v>
      </c>
      <c r="D2157" s="35" t="s">
        <v>292</v>
      </c>
      <c r="E2157" s="227">
        <v>43709</v>
      </c>
      <c r="F2157" s="156">
        <v>195192.61</v>
      </c>
      <c r="G2157" s="131">
        <f t="shared" si="151"/>
        <v>34978.515712</v>
      </c>
      <c r="H2157" s="156">
        <v>9589.89</v>
      </c>
      <c r="I2157" s="156">
        <v>0</v>
      </c>
      <c r="J2157" s="156">
        <v>3082.1</v>
      </c>
      <c r="K2157" s="131">
        <f t="shared" si="152"/>
        <v>12671.99</v>
      </c>
      <c r="L2157" s="134">
        <v>0.1792</v>
      </c>
    </row>
    <row r="2158" spans="3:12">
      <c r="C2158" s="161">
        <f t="shared" si="150"/>
        <v>2019</v>
      </c>
      <c r="D2158" s="35" t="s">
        <v>292</v>
      </c>
      <c r="E2158" s="227">
        <v>43739</v>
      </c>
      <c r="F2158" s="156">
        <v>168849.14</v>
      </c>
      <c r="G2158" s="131">
        <f t="shared" si="151"/>
        <v>30257.765888000002</v>
      </c>
      <c r="H2158" s="156">
        <v>428.62</v>
      </c>
      <c r="I2158" s="156">
        <v>0</v>
      </c>
      <c r="J2158" s="156">
        <v>572.95000000000005</v>
      </c>
      <c r="K2158" s="131">
        <f t="shared" si="152"/>
        <v>1001.57</v>
      </c>
      <c r="L2158" s="134">
        <v>0.1792</v>
      </c>
    </row>
    <row r="2159" spans="3:12">
      <c r="C2159" s="161">
        <f t="shared" si="150"/>
        <v>2019</v>
      </c>
      <c r="D2159" s="35" t="s">
        <v>292</v>
      </c>
      <c r="E2159" s="227">
        <v>43770</v>
      </c>
      <c r="F2159" s="156">
        <v>173242.88</v>
      </c>
      <c r="G2159" s="131">
        <f t="shared" si="151"/>
        <v>31045.124096</v>
      </c>
      <c r="H2159" s="156">
        <v>0</v>
      </c>
      <c r="I2159" s="156">
        <v>0</v>
      </c>
      <c r="J2159" s="156">
        <v>0</v>
      </c>
      <c r="K2159" s="131">
        <f t="shared" si="152"/>
        <v>0</v>
      </c>
      <c r="L2159" s="134">
        <v>0.1792</v>
      </c>
    </row>
    <row r="2160" spans="3:12">
      <c r="C2160" s="161">
        <f t="shared" si="150"/>
        <v>2019</v>
      </c>
      <c r="D2160" s="35" t="s">
        <v>292</v>
      </c>
      <c r="E2160" s="227">
        <v>43800</v>
      </c>
      <c r="F2160" s="156">
        <v>156334.92000000001</v>
      </c>
      <c r="G2160" s="131">
        <f t="shared" si="151"/>
        <v>28015.217664000003</v>
      </c>
      <c r="H2160" s="156">
        <v>1024.1400000000001</v>
      </c>
      <c r="I2160" s="156">
        <v>0</v>
      </c>
      <c r="J2160" s="156">
        <v>0</v>
      </c>
      <c r="K2160" s="131">
        <f t="shared" si="152"/>
        <v>1024.1400000000001</v>
      </c>
      <c r="L2160" s="134">
        <v>0.1792</v>
      </c>
    </row>
    <row r="2161" spans="3:12">
      <c r="C2161" s="161">
        <f t="shared" si="150"/>
        <v>2020</v>
      </c>
      <c r="D2161" s="35" t="s">
        <v>292</v>
      </c>
      <c r="E2161" s="227">
        <v>43831</v>
      </c>
      <c r="F2161" s="156">
        <v>163335.1</v>
      </c>
      <c r="G2161" s="131">
        <f t="shared" si="151"/>
        <v>29269.64992</v>
      </c>
      <c r="H2161" s="156">
        <v>1096.5899999999999</v>
      </c>
      <c r="I2161" s="156">
        <v>0</v>
      </c>
      <c r="J2161" s="156">
        <v>0</v>
      </c>
      <c r="K2161" s="131">
        <f t="shared" si="152"/>
        <v>1096.5899999999999</v>
      </c>
      <c r="L2161" s="134">
        <v>0.1792</v>
      </c>
    </row>
    <row r="2162" spans="3:12">
      <c r="C2162" s="161">
        <f t="shared" si="150"/>
        <v>2020</v>
      </c>
      <c r="D2162" s="35" t="s">
        <v>292</v>
      </c>
      <c r="E2162" s="227">
        <v>43862</v>
      </c>
      <c r="F2162" s="156">
        <v>164966.04</v>
      </c>
      <c r="G2162" s="131">
        <f t="shared" si="151"/>
        <v>29561.914368000002</v>
      </c>
      <c r="H2162" s="156">
        <v>278.11</v>
      </c>
      <c r="I2162" s="156">
        <v>0</v>
      </c>
      <c r="J2162" s="156">
        <v>0</v>
      </c>
      <c r="K2162" s="131">
        <f t="shared" si="152"/>
        <v>278.11</v>
      </c>
      <c r="L2162" s="134">
        <v>0.1792</v>
      </c>
    </row>
    <row r="2163" spans="3:12">
      <c r="C2163" s="161">
        <f t="shared" si="150"/>
        <v>2020</v>
      </c>
      <c r="D2163" s="35" t="s">
        <v>292</v>
      </c>
      <c r="E2163" s="227">
        <v>43891</v>
      </c>
      <c r="F2163" s="156">
        <v>166491.06622499999</v>
      </c>
      <c r="G2163" s="131">
        <f t="shared" si="151"/>
        <v>29835.199067519996</v>
      </c>
      <c r="H2163" s="156">
        <v>4927.25</v>
      </c>
      <c r="I2163" s="156">
        <v>0</v>
      </c>
      <c r="J2163" s="156">
        <v>0</v>
      </c>
      <c r="K2163" s="131">
        <f t="shared" si="152"/>
        <v>4927.25</v>
      </c>
      <c r="L2163" s="134">
        <v>0.1792</v>
      </c>
    </row>
    <row r="2164" spans="3:12">
      <c r="C2164" s="161">
        <f t="shared" si="150"/>
        <v>2020</v>
      </c>
      <c r="D2164" s="35" t="s">
        <v>292</v>
      </c>
      <c r="E2164" s="227">
        <v>43922</v>
      </c>
      <c r="F2164" s="156">
        <v>169436.81122500001</v>
      </c>
      <c r="G2164" s="131">
        <f t="shared" si="151"/>
        <v>30363.076571520003</v>
      </c>
      <c r="H2164" s="156">
        <v>0</v>
      </c>
      <c r="I2164" s="156">
        <v>0</v>
      </c>
      <c r="J2164" s="156">
        <v>0</v>
      </c>
      <c r="K2164" s="131">
        <f t="shared" si="152"/>
        <v>0</v>
      </c>
      <c r="L2164" s="134">
        <v>0.1792</v>
      </c>
    </row>
    <row r="2165" spans="3:12">
      <c r="C2165" s="161">
        <f t="shared" si="150"/>
        <v>2020</v>
      </c>
      <c r="D2165" s="35" t="s">
        <v>292</v>
      </c>
      <c r="E2165" s="227">
        <v>43952</v>
      </c>
      <c r="F2165" s="156">
        <v>158954.17000000001</v>
      </c>
      <c r="G2165" s="131">
        <f t="shared" si="151"/>
        <v>28484.587264000002</v>
      </c>
      <c r="H2165" s="156">
        <v>1500.62</v>
      </c>
      <c r="I2165" s="156">
        <v>0</v>
      </c>
      <c r="J2165" s="156">
        <v>0</v>
      </c>
      <c r="K2165" s="131">
        <f t="shared" si="152"/>
        <v>1500.62</v>
      </c>
      <c r="L2165" s="134">
        <v>0.1792</v>
      </c>
    </row>
    <row r="2166" spans="3:12">
      <c r="C2166" s="161">
        <f t="shared" si="150"/>
        <v>2020</v>
      </c>
      <c r="D2166" s="35" t="s">
        <v>292</v>
      </c>
      <c r="E2166" s="227">
        <v>43983</v>
      </c>
      <c r="F2166" s="156">
        <v>166278.39000000001</v>
      </c>
      <c r="G2166" s="131">
        <f t="shared" si="151"/>
        <v>29797.087488000001</v>
      </c>
      <c r="H2166" s="156">
        <v>18830.97</v>
      </c>
      <c r="I2166" s="156">
        <v>0</v>
      </c>
      <c r="J2166" s="156">
        <v>0</v>
      </c>
      <c r="K2166" s="131">
        <f t="shared" si="152"/>
        <v>18830.97</v>
      </c>
      <c r="L2166" s="134">
        <v>0.1792</v>
      </c>
    </row>
    <row r="2167" spans="3:12">
      <c r="C2167" s="161">
        <f t="shared" si="150"/>
        <v>2020</v>
      </c>
      <c r="D2167" s="35" t="s">
        <v>292</v>
      </c>
      <c r="E2167" s="227">
        <v>44013</v>
      </c>
      <c r="F2167" s="156">
        <v>168789.96</v>
      </c>
      <c r="G2167" s="131">
        <f t="shared" si="151"/>
        <v>30247.160831999998</v>
      </c>
      <c r="H2167" s="156">
        <v>0</v>
      </c>
      <c r="I2167" s="156">
        <v>0</v>
      </c>
      <c r="J2167" s="156">
        <v>0</v>
      </c>
      <c r="K2167" s="131">
        <f t="shared" si="152"/>
        <v>0</v>
      </c>
      <c r="L2167" s="134">
        <v>0.1792</v>
      </c>
    </row>
    <row r="2168" spans="3:12">
      <c r="C2168" s="161">
        <f t="shared" si="150"/>
        <v>2020</v>
      </c>
      <c r="D2168" s="35" t="s">
        <v>292</v>
      </c>
      <c r="E2168" s="227">
        <v>44044</v>
      </c>
      <c r="F2168" s="156">
        <v>183266.7</v>
      </c>
      <c r="G2168" s="131">
        <f t="shared" si="151"/>
        <v>32841.392639999998</v>
      </c>
      <c r="H2168" s="156">
        <v>425.95</v>
      </c>
      <c r="I2168" s="156">
        <v>0</v>
      </c>
      <c r="J2168" s="156">
        <v>0</v>
      </c>
      <c r="K2168" s="131">
        <f t="shared" si="152"/>
        <v>425.95</v>
      </c>
      <c r="L2168" s="134">
        <v>0.1792</v>
      </c>
    </row>
    <row r="2169" spans="3:12">
      <c r="C2169" s="161">
        <f t="shared" si="150"/>
        <v>2020</v>
      </c>
      <c r="D2169" s="35" t="s">
        <v>292</v>
      </c>
      <c r="E2169" s="227">
        <v>44075</v>
      </c>
      <c r="F2169" s="156">
        <v>211355.21</v>
      </c>
      <c r="G2169" s="131">
        <f t="shared" si="151"/>
        <v>37874.853631999998</v>
      </c>
      <c r="H2169" s="156">
        <v>1161.48</v>
      </c>
      <c r="I2169" s="156">
        <v>0</v>
      </c>
      <c r="J2169" s="156">
        <v>0</v>
      </c>
      <c r="K2169" s="131">
        <f t="shared" si="152"/>
        <v>1161.48</v>
      </c>
      <c r="L2169" s="134">
        <v>0.1792</v>
      </c>
    </row>
    <row r="2170" spans="3:12">
      <c r="C2170" s="161">
        <f t="shared" si="150"/>
        <v>2020</v>
      </c>
      <c r="D2170" s="35" t="s">
        <v>292</v>
      </c>
      <c r="E2170" s="227">
        <v>44105</v>
      </c>
      <c r="F2170" s="156">
        <v>197481.56</v>
      </c>
      <c r="G2170" s="131">
        <f t="shared" si="151"/>
        <v>35388.695551999997</v>
      </c>
      <c r="H2170" s="156">
        <v>694.33</v>
      </c>
      <c r="I2170" s="156">
        <v>0</v>
      </c>
      <c r="J2170" s="156">
        <v>0</v>
      </c>
      <c r="K2170" s="131">
        <f t="shared" si="152"/>
        <v>694.33</v>
      </c>
      <c r="L2170" s="134">
        <v>0.1792</v>
      </c>
    </row>
    <row r="2171" spans="3:12">
      <c r="C2171" s="161">
        <f t="shared" si="150"/>
        <v>2020</v>
      </c>
      <c r="D2171" s="35" t="s">
        <v>292</v>
      </c>
      <c r="E2171" s="227">
        <v>44136</v>
      </c>
      <c r="F2171" s="156">
        <v>184936.99</v>
      </c>
      <c r="G2171" s="131">
        <f t="shared" si="151"/>
        <v>33140.708608000001</v>
      </c>
      <c r="H2171" s="156">
        <v>608.30999999999995</v>
      </c>
      <c r="I2171" s="156">
        <v>0</v>
      </c>
      <c r="J2171" s="156">
        <v>0</v>
      </c>
      <c r="K2171" s="131">
        <f t="shared" si="152"/>
        <v>608.30999999999995</v>
      </c>
      <c r="L2171" s="134">
        <v>0.1792</v>
      </c>
    </row>
    <row r="2172" spans="3:12">
      <c r="C2172" s="161">
        <f t="shared" si="150"/>
        <v>2020</v>
      </c>
      <c r="D2172" s="35" t="s">
        <v>292</v>
      </c>
      <c r="E2172" s="227">
        <v>44166</v>
      </c>
      <c r="F2172" s="156">
        <v>188263.5</v>
      </c>
      <c r="G2172" s="131">
        <f t="shared" si="151"/>
        <v>33736.819199999998</v>
      </c>
      <c r="H2172" s="156">
        <v>515.87</v>
      </c>
      <c r="I2172" s="156">
        <v>0</v>
      </c>
      <c r="J2172" s="156">
        <v>0</v>
      </c>
      <c r="K2172" s="131">
        <f t="shared" si="152"/>
        <v>515.87</v>
      </c>
      <c r="L2172" s="134">
        <v>0.1792</v>
      </c>
    </row>
    <row r="2173" spans="3:12">
      <c r="C2173" s="161">
        <f t="shared" si="150"/>
        <v>2021</v>
      </c>
      <c r="D2173" s="35" t="s">
        <v>292</v>
      </c>
      <c r="E2173" s="227">
        <v>44197</v>
      </c>
      <c r="F2173" s="156">
        <v>183467.2</v>
      </c>
      <c r="G2173" s="131">
        <f t="shared" si="151"/>
        <v>32877.322240000001</v>
      </c>
      <c r="H2173" s="156">
        <v>0</v>
      </c>
      <c r="I2173" s="156">
        <v>0</v>
      </c>
      <c r="J2173" s="156">
        <v>0</v>
      </c>
      <c r="K2173" s="131">
        <f t="shared" si="152"/>
        <v>0</v>
      </c>
      <c r="L2173" s="134">
        <v>0.1792</v>
      </c>
    </row>
    <row r="2174" spans="3:12">
      <c r="C2174" s="161">
        <f t="shared" si="150"/>
        <v>2021</v>
      </c>
      <c r="D2174" s="35" t="s">
        <v>292</v>
      </c>
      <c r="E2174" s="227">
        <v>44229</v>
      </c>
      <c r="F2174" s="156">
        <v>181664.55</v>
      </c>
      <c r="G2174" s="131">
        <f t="shared" si="151"/>
        <v>32554.287359999998</v>
      </c>
      <c r="H2174" s="156">
        <v>21293.89</v>
      </c>
      <c r="I2174" s="156">
        <v>0</v>
      </c>
      <c r="J2174" s="156">
        <v>459.73</v>
      </c>
      <c r="K2174" s="131">
        <f t="shared" si="152"/>
        <v>21753.62</v>
      </c>
      <c r="L2174" s="134">
        <v>0.1792</v>
      </c>
    </row>
    <row r="2175" spans="3:12">
      <c r="C2175" s="161">
        <f t="shared" si="150"/>
        <v>2021</v>
      </c>
      <c r="D2175" s="35" t="s">
        <v>292</v>
      </c>
      <c r="E2175" s="227">
        <v>44258</v>
      </c>
      <c r="F2175" s="156">
        <v>173252.91</v>
      </c>
      <c r="G2175" s="131">
        <f t="shared" si="151"/>
        <v>31046.921472000002</v>
      </c>
      <c r="H2175" s="156">
        <v>12232.91</v>
      </c>
      <c r="I2175" s="156">
        <v>97185.31</v>
      </c>
      <c r="J2175" s="156">
        <v>0</v>
      </c>
      <c r="K2175" s="131">
        <f t="shared" si="152"/>
        <v>109418.22</v>
      </c>
      <c r="L2175" s="134">
        <v>0.1792</v>
      </c>
    </row>
    <row r="2176" spans="3:12">
      <c r="C2176" s="161">
        <f t="shared" si="150"/>
        <v>2021</v>
      </c>
      <c r="D2176" s="35" t="s">
        <v>292</v>
      </c>
      <c r="E2176" s="227">
        <v>44290</v>
      </c>
      <c r="F2176" s="156">
        <v>198687.12</v>
      </c>
      <c r="G2176" s="131">
        <f t="shared" si="151"/>
        <v>35604.731904</v>
      </c>
      <c r="H2176" s="156">
        <v>6145.3</v>
      </c>
      <c r="I2176" s="156">
        <v>0</v>
      </c>
      <c r="J2176" s="156">
        <v>0</v>
      </c>
      <c r="K2176" s="131">
        <f t="shared" si="152"/>
        <v>6145.3</v>
      </c>
      <c r="L2176" s="134">
        <v>0.1792</v>
      </c>
    </row>
    <row r="2177" spans="3:12">
      <c r="C2177" s="161">
        <f t="shared" si="150"/>
        <v>2021</v>
      </c>
      <c r="D2177" s="35" t="s">
        <v>292</v>
      </c>
      <c r="E2177" s="227">
        <v>44321</v>
      </c>
      <c r="F2177" s="156">
        <v>191253.09</v>
      </c>
      <c r="G2177" s="131">
        <f t="shared" si="151"/>
        <v>34272.553727999999</v>
      </c>
      <c r="H2177" s="156">
        <v>5842.1</v>
      </c>
      <c r="I2177" s="156">
        <v>0</v>
      </c>
      <c r="J2177" s="156">
        <v>0</v>
      </c>
      <c r="K2177" s="131">
        <f t="shared" si="152"/>
        <v>5842.1</v>
      </c>
      <c r="L2177" s="134">
        <v>0.1792</v>
      </c>
    </row>
    <row r="2178" spans="3:12">
      <c r="C2178" s="161">
        <f t="shared" si="150"/>
        <v>2021</v>
      </c>
      <c r="D2178" s="35" t="s">
        <v>292</v>
      </c>
      <c r="E2178" s="227">
        <v>44353</v>
      </c>
      <c r="F2178" s="156">
        <v>191789.47</v>
      </c>
      <c r="G2178" s="131">
        <f t="shared" si="151"/>
        <v>34368.673024000003</v>
      </c>
      <c r="H2178" s="156">
        <v>1131.56</v>
      </c>
      <c r="I2178" s="156">
        <v>0.01</v>
      </c>
      <c r="J2178" s="156">
        <v>0</v>
      </c>
      <c r="K2178" s="131">
        <f t="shared" si="152"/>
        <v>1131.57</v>
      </c>
      <c r="L2178" s="134">
        <v>0.1792</v>
      </c>
    </row>
    <row r="2179" spans="3:12">
      <c r="C2179" s="161">
        <f t="shared" si="150"/>
        <v>2015</v>
      </c>
      <c r="D2179" s="35" t="s">
        <v>293</v>
      </c>
      <c r="E2179" s="227">
        <v>42309</v>
      </c>
      <c r="F2179" s="156">
        <v>319425.73</v>
      </c>
      <c r="G2179" s="131">
        <f t="shared" si="151"/>
        <v>57241.090815999996</v>
      </c>
      <c r="H2179" s="156">
        <v>155603.37</v>
      </c>
      <c r="I2179" s="156">
        <v>9706.76</v>
      </c>
      <c r="J2179" s="156">
        <v>0</v>
      </c>
      <c r="K2179" s="131">
        <f t="shared" si="152"/>
        <v>165310.13</v>
      </c>
      <c r="L2179" s="134">
        <v>0.1792</v>
      </c>
    </row>
    <row r="2180" spans="3:12">
      <c r="C2180" s="161">
        <f t="shared" ref="C2180:C2243" si="153">YEAR(E2180)</f>
        <v>2015</v>
      </c>
      <c r="D2180" s="35" t="s">
        <v>293</v>
      </c>
      <c r="E2180" s="227">
        <v>42339</v>
      </c>
      <c r="F2180" s="156">
        <v>339507.73</v>
      </c>
      <c r="G2180" s="131">
        <f t="shared" ref="G2180:G2243" si="154">F2180*L2180</f>
        <v>60839.785215999997</v>
      </c>
      <c r="H2180" s="156">
        <v>134456.51999999999</v>
      </c>
      <c r="I2180" s="156">
        <v>887.84</v>
      </c>
      <c r="J2180" s="156">
        <v>0</v>
      </c>
      <c r="K2180" s="131">
        <f t="shared" ref="K2180:K2243" si="155">SUM(H2180:J2180)</f>
        <v>135344.35999999999</v>
      </c>
      <c r="L2180" s="134">
        <v>0.1792</v>
      </c>
    </row>
    <row r="2181" spans="3:12">
      <c r="C2181" s="161">
        <f t="shared" si="153"/>
        <v>2016</v>
      </c>
      <c r="D2181" s="35" t="s">
        <v>293</v>
      </c>
      <c r="E2181" s="227">
        <v>42370</v>
      </c>
      <c r="F2181" s="156">
        <v>365984.55</v>
      </c>
      <c r="G2181" s="131">
        <f t="shared" si="154"/>
        <v>65584.431360000002</v>
      </c>
      <c r="H2181" s="156">
        <v>17246.66</v>
      </c>
      <c r="I2181" s="156">
        <v>646.19000000000005</v>
      </c>
      <c r="J2181" s="156">
        <v>0</v>
      </c>
      <c r="K2181" s="131">
        <f t="shared" si="155"/>
        <v>17892.849999999999</v>
      </c>
      <c r="L2181" s="134">
        <v>0.1792</v>
      </c>
    </row>
    <row r="2182" spans="3:12">
      <c r="C2182" s="161">
        <f t="shared" si="153"/>
        <v>2016</v>
      </c>
      <c r="D2182" s="35" t="s">
        <v>293</v>
      </c>
      <c r="E2182" s="227">
        <v>42401</v>
      </c>
      <c r="F2182" s="156">
        <v>355367.66</v>
      </c>
      <c r="G2182" s="131">
        <f t="shared" si="154"/>
        <v>63681.884671999993</v>
      </c>
      <c r="H2182" s="156">
        <v>1001386.05</v>
      </c>
      <c r="I2182" s="156">
        <v>560.78</v>
      </c>
      <c r="J2182" s="156">
        <v>1868.78</v>
      </c>
      <c r="K2182" s="131">
        <f t="shared" si="155"/>
        <v>1003815.6100000001</v>
      </c>
      <c r="L2182" s="134">
        <v>0.1792</v>
      </c>
    </row>
    <row r="2183" spans="3:12">
      <c r="C2183" s="161">
        <f t="shared" si="153"/>
        <v>2016</v>
      </c>
      <c r="D2183" s="35" t="s">
        <v>293</v>
      </c>
      <c r="E2183" s="227">
        <v>42430</v>
      </c>
      <c r="F2183" s="156">
        <v>290929.67</v>
      </c>
      <c r="G2183" s="131">
        <f t="shared" si="154"/>
        <v>52134.596863999999</v>
      </c>
      <c r="H2183" s="156">
        <v>113491.55</v>
      </c>
      <c r="I2183" s="156">
        <v>138530.68</v>
      </c>
      <c r="J2183" s="156">
        <v>0</v>
      </c>
      <c r="K2183" s="131">
        <f t="shared" si="155"/>
        <v>252022.22999999998</v>
      </c>
      <c r="L2183" s="134">
        <v>0.1792</v>
      </c>
    </row>
    <row r="2184" spans="3:12">
      <c r="C2184" s="161">
        <f t="shared" si="153"/>
        <v>2016</v>
      </c>
      <c r="D2184" s="35" t="s">
        <v>293</v>
      </c>
      <c r="E2184" s="227">
        <v>42461</v>
      </c>
      <c r="F2184" s="156">
        <v>378582.34</v>
      </c>
      <c r="G2184" s="131">
        <f t="shared" si="154"/>
        <v>67841.955328000011</v>
      </c>
      <c r="H2184" s="156">
        <v>19968.62</v>
      </c>
      <c r="I2184" s="156">
        <v>71.38</v>
      </c>
      <c r="J2184" s="156">
        <v>14248.64</v>
      </c>
      <c r="K2184" s="131">
        <f t="shared" si="155"/>
        <v>34288.639999999999</v>
      </c>
      <c r="L2184" s="134">
        <v>0.1792</v>
      </c>
    </row>
    <row r="2185" spans="3:12">
      <c r="C2185" s="161">
        <f t="shared" si="153"/>
        <v>2016</v>
      </c>
      <c r="D2185" s="35" t="s">
        <v>293</v>
      </c>
      <c r="E2185" s="227">
        <v>42491</v>
      </c>
      <c r="F2185" s="156">
        <v>285151.90000000002</v>
      </c>
      <c r="G2185" s="131">
        <f t="shared" si="154"/>
        <v>51099.220480000004</v>
      </c>
      <c r="H2185" s="156">
        <v>20044.21</v>
      </c>
      <c r="I2185" s="156">
        <v>1119.6600000000001</v>
      </c>
      <c r="J2185" s="156">
        <v>0</v>
      </c>
      <c r="K2185" s="131">
        <f t="shared" si="155"/>
        <v>21163.87</v>
      </c>
      <c r="L2185" s="134">
        <v>0.1792</v>
      </c>
    </row>
    <row r="2186" spans="3:12">
      <c r="C2186" s="161">
        <f t="shared" si="153"/>
        <v>2016</v>
      </c>
      <c r="D2186" s="35" t="s">
        <v>293</v>
      </c>
      <c r="E2186" s="227">
        <v>42522</v>
      </c>
      <c r="F2186" s="156">
        <v>271755.94</v>
      </c>
      <c r="G2186" s="131">
        <f t="shared" si="154"/>
        <v>48698.664448000003</v>
      </c>
      <c r="H2186" s="156">
        <v>102546.69</v>
      </c>
      <c r="I2186" s="156">
        <v>0</v>
      </c>
      <c r="J2186" s="156">
        <v>8011.06</v>
      </c>
      <c r="K2186" s="131">
        <f t="shared" si="155"/>
        <v>110557.75</v>
      </c>
      <c r="L2186" s="134">
        <v>0.1792</v>
      </c>
    </row>
    <row r="2187" spans="3:12">
      <c r="C2187" s="161">
        <f t="shared" si="153"/>
        <v>2016</v>
      </c>
      <c r="D2187" s="35" t="s">
        <v>293</v>
      </c>
      <c r="E2187" s="227">
        <v>42552</v>
      </c>
      <c r="F2187" s="156">
        <v>316278.02</v>
      </c>
      <c r="G2187" s="131">
        <f t="shared" si="154"/>
        <v>56677.021184000005</v>
      </c>
      <c r="H2187" s="156">
        <v>102630.1</v>
      </c>
      <c r="I2187" s="156">
        <v>1372.87</v>
      </c>
      <c r="J2187" s="156">
        <v>0</v>
      </c>
      <c r="K2187" s="131">
        <f t="shared" si="155"/>
        <v>104002.97</v>
      </c>
      <c r="L2187" s="134">
        <v>0.1792</v>
      </c>
    </row>
    <row r="2188" spans="3:12">
      <c r="C2188" s="161">
        <f t="shared" si="153"/>
        <v>2016</v>
      </c>
      <c r="D2188" s="35" t="s">
        <v>293</v>
      </c>
      <c r="E2188" s="227">
        <v>42583</v>
      </c>
      <c r="F2188" s="156">
        <v>340744.9</v>
      </c>
      <c r="G2188" s="131">
        <f t="shared" si="154"/>
        <v>61061.486080000002</v>
      </c>
      <c r="H2188" s="156">
        <v>25967.62</v>
      </c>
      <c r="I2188" s="156">
        <v>130636.58</v>
      </c>
      <c r="J2188" s="156">
        <v>0</v>
      </c>
      <c r="K2188" s="131">
        <f t="shared" si="155"/>
        <v>156604.20000000001</v>
      </c>
      <c r="L2188" s="134">
        <v>0.1792</v>
      </c>
    </row>
    <row r="2189" spans="3:12">
      <c r="C2189" s="161">
        <f t="shared" si="153"/>
        <v>2016</v>
      </c>
      <c r="D2189" s="35" t="s">
        <v>293</v>
      </c>
      <c r="E2189" s="227">
        <v>42614</v>
      </c>
      <c r="F2189" s="156">
        <v>398649.1</v>
      </c>
      <c r="G2189" s="131">
        <f t="shared" si="154"/>
        <v>71437.918720000001</v>
      </c>
      <c r="H2189" s="156">
        <v>22722.02</v>
      </c>
      <c r="I2189" s="156">
        <v>1306.42</v>
      </c>
      <c r="J2189" s="156">
        <v>0</v>
      </c>
      <c r="K2189" s="131">
        <f t="shared" si="155"/>
        <v>24028.440000000002</v>
      </c>
      <c r="L2189" s="134">
        <v>0.1792</v>
      </c>
    </row>
    <row r="2190" spans="3:12">
      <c r="C2190" s="161">
        <f t="shared" si="153"/>
        <v>2016</v>
      </c>
      <c r="D2190" s="35" t="s">
        <v>293</v>
      </c>
      <c r="E2190" s="227">
        <v>42644</v>
      </c>
      <c r="F2190" s="156">
        <v>353985.76</v>
      </c>
      <c r="G2190" s="131">
        <f t="shared" si="154"/>
        <v>63434.248191999999</v>
      </c>
      <c r="H2190" s="156">
        <v>22935.43</v>
      </c>
      <c r="I2190" s="156">
        <v>0</v>
      </c>
      <c r="J2190" s="156">
        <v>0</v>
      </c>
      <c r="K2190" s="131">
        <f t="shared" si="155"/>
        <v>22935.43</v>
      </c>
      <c r="L2190" s="134">
        <v>0.1792</v>
      </c>
    </row>
    <row r="2191" spans="3:12">
      <c r="C2191" s="161">
        <f t="shared" si="153"/>
        <v>2016</v>
      </c>
      <c r="D2191" s="35" t="s">
        <v>293</v>
      </c>
      <c r="E2191" s="227">
        <v>42675</v>
      </c>
      <c r="F2191" s="156">
        <v>371487.64</v>
      </c>
      <c r="G2191" s="131">
        <f t="shared" si="154"/>
        <v>66570.585088000007</v>
      </c>
      <c r="H2191" s="156">
        <v>248347.12</v>
      </c>
      <c r="I2191" s="156">
        <v>484.4</v>
      </c>
      <c r="J2191" s="156">
        <v>0</v>
      </c>
      <c r="K2191" s="131">
        <f t="shared" si="155"/>
        <v>248831.52</v>
      </c>
      <c r="L2191" s="134">
        <v>0.1792</v>
      </c>
    </row>
    <row r="2192" spans="3:12">
      <c r="C2192" s="161">
        <f t="shared" si="153"/>
        <v>2016</v>
      </c>
      <c r="D2192" s="35" t="s">
        <v>293</v>
      </c>
      <c r="E2192" s="227">
        <v>42705</v>
      </c>
      <c r="F2192" s="156">
        <v>345196.96</v>
      </c>
      <c r="G2192" s="131">
        <f t="shared" si="154"/>
        <v>61859.295232000004</v>
      </c>
      <c r="H2192" s="156">
        <v>26617.49</v>
      </c>
      <c r="I2192" s="156">
        <v>0</v>
      </c>
      <c r="J2192" s="156">
        <v>0</v>
      </c>
      <c r="K2192" s="131">
        <f t="shared" si="155"/>
        <v>26617.49</v>
      </c>
      <c r="L2192" s="134">
        <v>0.1792</v>
      </c>
    </row>
    <row r="2193" spans="3:12">
      <c r="C2193" s="161">
        <f t="shared" si="153"/>
        <v>2017</v>
      </c>
      <c r="D2193" s="35" t="s">
        <v>293</v>
      </c>
      <c r="E2193" s="227">
        <v>42736</v>
      </c>
      <c r="F2193" s="156">
        <v>363699.17</v>
      </c>
      <c r="G2193" s="131">
        <f t="shared" si="154"/>
        <v>65174.891263999998</v>
      </c>
      <c r="H2193" s="156">
        <v>23672.7</v>
      </c>
      <c r="I2193" s="156">
        <v>0</v>
      </c>
      <c r="J2193" s="156">
        <v>2789.32</v>
      </c>
      <c r="K2193" s="131">
        <f t="shared" si="155"/>
        <v>26462.02</v>
      </c>
      <c r="L2193" s="134">
        <v>0.1792</v>
      </c>
    </row>
    <row r="2194" spans="3:12">
      <c r="C2194" s="161">
        <f t="shared" si="153"/>
        <v>2017</v>
      </c>
      <c r="D2194" s="35" t="s">
        <v>293</v>
      </c>
      <c r="E2194" s="227">
        <v>42767</v>
      </c>
      <c r="F2194" s="156">
        <v>360651.14</v>
      </c>
      <c r="G2194" s="131">
        <f t="shared" si="154"/>
        <v>64628.684288000004</v>
      </c>
      <c r="H2194" s="156">
        <v>19638.68</v>
      </c>
      <c r="I2194" s="156">
        <v>1766.54</v>
      </c>
      <c r="J2194" s="156">
        <v>0</v>
      </c>
      <c r="K2194" s="131">
        <f t="shared" si="155"/>
        <v>21405.22</v>
      </c>
      <c r="L2194" s="134">
        <v>0.1792</v>
      </c>
    </row>
    <row r="2195" spans="3:12">
      <c r="C2195" s="161">
        <f t="shared" si="153"/>
        <v>2017</v>
      </c>
      <c r="D2195" s="35" t="s">
        <v>293</v>
      </c>
      <c r="E2195" s="227">
        <v>42795</v>
      </c>
      <c r="F2195" s="156">
        <v>334714.53999999998</v>
      </c>
      <c r="G2195" s="131">
        <f t="shared" si="154"/>
        <v>59980.845567999997</v>
      </c>
      <c r="H2195" s="156">
        <v>2061.44</v>
      </c>
      <c r="I2195" s="156">
        <v>882.96</v>
      </c>
      <c r="J2195" s="156">
        <v>520.4</v>
      </c>
      <c r="K2195" s="131">
        <f t="shared" si="155"/>
        <v>3464.8</v>
      </c>
      <c r="L2195" s="134">
        <v>0.1792</v>
      </c>
    </row>
    <row r="2196" spans="3:12">
      <c r="C2196" s="161">
        <f t="shared" si="153"/>
        <v>2017</v>
      </c>
      <c r="D2196" s="35" t="s">
        <v>293</v>
      </c>
      <c r="E2196" s="227">
        <v>42826</v>
      </c>
      <c r="F2196" s="156">
        <v>340016</v>
      </c>
      <c r="G2196" s="131">
        <f t="shared" si="154"/>
        <v>60930.867200000001</v>
      </c>
      <c r="H2196" s="156">
        <v>6271.94</v>
      </c>
      <c r="I2196" s="156">
        <v>0</v>
      </c>
      <c r="J2196" s="156">
        <v>0</v>
      </c>
      <c r="K2196" s="131">
        <f t="shared" si="155"/>
        <v>6271.94</v>
      </c>
      <c r="L2196" s="134">
        <v>0.1792</v>
      </c>
    </row>
    <row r="2197" spans="3:12">
      <c r="C2197" s="161">
        <f t="shared" si="153"/>
        <v>2017</v>
      </c>
      <c r="D2197" s="35" t="s">
        <v>293</v>
      </c>
      <c r="E2197" s="227">
        <v>42856</v>
      </c>
      <c r="F2197" s="156">
        <v>315254.07</v>
      </c>
      <c r="G2197" s="131">
        <f t="shared" si="154"/>
        <v>56493.529344000002</v>
      </c>
      <c r="H2197" s="156">
        <v>4809.6400000000003</v>
      </c>
      <c r="I2197" s="156">
        <v>153.77000000000001</v>
      </c>
      <c r="J2197" s="156">
        <v>0</v>
      </c>
      <c r="K2197" s="131">
        <f t="shared" si="155"/>
        <v>4963.4100000000008</v>
      </c>
      <c r="L2197" s="134">
        <v>0.1792</v>
      </c>
    </row>
    <row r="2198" spans="3:12">
      <c r="C2198" s="161">
        <f t="shared" si="153"/>
        <v>2017</v>
      </c>
      <c r="D2198" s="35" t="s">
        <v>293</v>
      </c>
      <c r="E2198" s="227">
        <v>42887</v>
      </c>
      <c r="F2198" s="156">
        <v>323783.81</v>
      </c>
      <c r="G2198" s="131">
        <f t="shared" si="154"/>
        <v>58022.058751999997</v>
      </c>
      <c r="H2198" s="156">
        <v>1324.18</v>
      </c>
      <c r="I2198" s="156">
        <v>8931.41</v>
      </c>
      <c r="J2198" s="156">
        <v>0</v>
      </c>
      <c r="K2198" s="131">
        <f t="shared" si="155"/>
        <v>10255.59</v>
      </c>
      <c r="L2198" s="134">
        <v>0.1792</v>
      </c>
    </row>
    <row r="2199" spans="3:12">
      <c r="C2199" s="161">
        <f t="shared" si="153"/>
        <v>2017</v>
      </c>
      <c r="D2199" s="35" t="s">
        <v>293</v>
      </c>
      <c r="E2199" s="227">
        <v>42917</v>
      </c>
      <c r="F2199" s="156">
        <v>344271.01</v>
      </c>
      <c r="G2199" s="131">
        <f t="shared" si="154"/>
        <v>61693.364992000003</v>
      </c>
      <c r="H2199" s="156">
        <v>2061.4</v>
      </c>
      <c r="I2199" s="156">
        <v>0</v>
      </c>
      <c r="J2199" s="156">
        <v>9720.06</v>
      </c>
      <c r="K2199" s="131">
        <f t="shared" si="155"/>
        <v>11781.46</v>
      </c>
      <c r="L2199" s="134">
        <v>0.1792</v>
      </c>
    </row>
    <row r="2200" spans="3:12">
      <c r="C2200" s="161">
        <f t="shared" si="153"/>
        <v>2017</v>
      </c>
      <c r="D2200" s="35" t="s">
        <v>293</v>
      </c>
      <c r="E2200" s="227">
        <v>42948</v>
      </c>
      <c r="F2200" s="156">
        <v>375399.26</v>
      </c>
      <c r="G2200" s="131">
        <f t="shared" si="154"/>
        <v>67271.547392000008</v>
      </c>
      <c r="H2200" s="156">
        <v>579.70000000000005</v>
      </c>
      <c r="I2200" s="156">
        <v>0</v>
      </c>
      <c r="J2200" s="156">
        <v>0</v>
      </c>
      <c r="K2200" s="131">
        <f t="shared" si="155"/>
        <v>579.70000000000005</v>
      </c>
      <c r="L2200" s="134">
        <v>0.1792</v>
      </c>
    </row>
    <row r="2201" spans="3:12">
      <c r="C2201" s="161">
        <f t="shared" si="153"/>
        <v>2017</v>
      </c>
      <c r="D2201" s="35" t="s">
        <v>293</v>
      </c>
      <c r="E2201" s="227">
        <v>42979</v>
      </c>
      <c r="F2201" s="156">
        <v>392188.97</v>
      </c>
      <c r="G2201" s="131">
        <f t="shared" si="154"/>
        <v>70280.26342399999</v>
      </c>
      <c r="H2201" s="156">
        <v>1997.52</v>
      </c>
      <c r="I2201" s="156">
        <v>51548.97</v>
      </c>
      <c r="J2201" s="156">
        <v>0</v>
      </c>
      <c r="K2201" s="131">
        <f t="shared" si="155"/>
        <v>53546.49</v>
      </c>
      <c r="L2201" s="134">
        <v>0.1792</v>
      </c>
    </row>
    <row r="2202" spans="3:12">
      <c r="C2202" s="161">
        <f t="shared" si="153"/>
        <v>2017</v>
      </c>
      <c r="D2202" s="35" t="s">
        <v>293</v>
      </c>
      <c r="E2202" s="227">
        <v>43009</v>
      </c>
      <c r="F2202" s="156">
        <v>387524.62</v>
      </c>
      <c r="G2202" s="131">
        <f t="shared" si="154"/>
        <v>69444.411903999993</v>
      </c>
      <c r="H2202" s="156">
        <v>2011.57</v>
      </c>
      <c r="I2202" s="156">
        <v>0</v>
      </c>
      <c r="J2202" s="156">
        <v>0</v>
      </c>
      <c r="K2202" s="131">
        <f t="shared" si="155"/>
        <v>2011.57</v>
      </c>
      <c r="L2202" s="134">
        <v>0.1792</v>
      </c>
    </row>
    <row r="2203" spans="3:12">
      <c r="C2203" s="161">
        <f t="shared" si="153"/>
        <v>2017</v>
      </c>
      <c r="D2203" s="35" t="s">
        <v>293</v>
      </c>
      <c r="E2203" s="227">
        <v>43040</v>
      </c>
      <c r="F2203" s="156">
        <v>380610.29</v>
      </c>
      <c r="G2203" s="131">
        <f t="shared" si="154"/>
        <v>68205.363967999991</v>
      </c>
      <c r="H2203" s="156">
        <v>1297.6099999999999</v>
      </c>
      <c r="I2203" s="156">
        <v>0</v>
      </c>
      <c r="J2203" s="156">
        <v>0</v>
      </c>
      <c r="K2203" s="131">
        <f t="shared" si="155"/>
        <v>1297.6099999999999</v>
      </c>
      <c r="L2203" s="134">
        <v>0.1792</v>
      </c>
    </row>
    <row r="2204" spans="3:12">
      <c r="C2204" s="161">
        <f t="shared" si="153"/>
        <v>2017</v>
      </c>
      <c r="D2204" s="35" t="s">
        <v>293</v>
      </c>
      <c r="E2204" s="227">
        <v>43070</v>
      </c>
      <c r="F2204" s="156">
        <v>375820.72</v>
      </c>
      <c r="G2204" s="131">
        <f t="shared" si="154"/>
        <v>67347.073023999998</v>
      </c>
      <c r="H2204" s="156">
        <v>2379.85</v>
      </c>
      <c r="I2204" s="156">
        <v>-57395.95</v>
      </c>
      <c r="J2204" s="156">
        <v>0</v>
      </c>
      <c r="K2204" s="131">
        <f t="shared" si="155"/>
        <v>-55016.1</v>
      </c>
      <c r="L2204" s="134">
        <v>0.1792</v>
      </c>
    </row>
    <row r="2205" spans="3:12">
      <c r="C2205" s="161">
        <f t="shared" si="153"/>
        <v>2018</v>
      </c>
      <c r="D2205" s="35" t="s">
        <v>293</v>
      </c>
      <c r="E2205" s="227">
        <v>43101</v>
      </c>
      <c r="F2205" s="156">
        <v>365327.81</v>
      </c>
      <c r="G2205" s="131">
        <f t="shared" si="154"/>
        <v>65466.743552</v>
      </c>
      <c r="H2205" s="156">
        <v>54191.06</v>
      </c>
      <c r="I2205" s="156">
        <v>0</v>
      </c>
      <c r="J2205" s="156">
        <v>0</v>
      </c>
      <c r="K2205" s="131">
        <f t="shared" si="155"/>
        <v>54191.06</v>
      </c>
      <c r="L2205" s="134">
        <v>0.1792</v>
      </c>
    </row>
    <row r="2206" spans="3:12">
      <c r="C2206" s="161">
        <f t="shared" si="153"/>
        <v>2018</v>
      </c>
      <c r="D2206" s="35" t="s">
        <v>293</v>
      </c>
      <c r="E2206" s="227">
        <v>43132</v>
      </c>
      <c r="F2206" s="156">
        <v>379238.89</v>
      </c>
      <c r="G2206" s="131">
        <f t="shared" si="154"/>
        <v>67959.609087999997</v>
      </c>
      <c r="H2206" s="156">
        <v>1301.6600000000001</v>
      </c>
      <c r="I2206" s="156">
        <v>1583.21</v>
      </c>
      <c r="J2206" s="156">
        <v>0</v>
      </c>
      <c r="K2206" s="131">
        <f t="shared" si="155"/>
        <v>2884.87</v>
      </c>
      <c r="L2206" s="134">
        <v>0.1792</v>
      </c>
    </row>
    <row r="2207" spans="3:12">
      <c r="C2207" s="161">
        <f t="shared" si="153"/>
        <v>2018</v>
      </c>
      <c r="D2207" s="35" t="s">
        <v>293</v>
      </c>
      <c r="E2207" s="227">
        <v>43160</v>
      </c>
      <c r="F2207" s="156">
        <v>352485.62</v>
      </c>
      <c r="G2207" s="131">
        <f t="shared" si="154"/>
        <v>63165.423104000001</v>
      </c>
      <c r="H2207" s="156">
        <v>3676.9</v>
      </c>
      <c r="I2207" s="156">
        <v>0</v>
      </c>
      <c r="J2207" s="156">
        <v>0</v>
      </c>
      <c r="K2207" s="131">
        <f t="shared" si="155"/>
        <v>3676.9</v>
      </c>
      <c r="L2207" s="134">
        <v>0.1792</v>
      </c>
    </row>
    <row r="2208" spans="3:12">
      <c r="C2208" s="161">
        <f t="shared" si="153"/>
        <v>2018</v>
      </c>
      <c r="D2208" s="35" t="s">
        <v>293</v>
      </c>
      <c r="E2208" s="227">
        <v>43191</v>
      </c>
      <c r="F2208" s="156">
        <v>376243.85</v>
      </c>
      <c r="G2208" s="131">
        <f t="shared" si="154"/>
        <v>67422.897919999989</v>
      </c>
      <c r="H2208" s="156">
        <v>2294.1999999999998</v>
      </c>
      <c r="I2208" s="156">
        <v>2023.45</v>
      </c>
      <c r="J2208" s="156">
        <v>0</v>
      </c>
      <c r="K2208" s="131">
        <f t="shared" si="155"/>
        <v>4317.6499999999996</v>
      </c>
      <c r="L2208" s="134">
        <v>0.1792</v>
      </c>
    </row>
    <row r="2209" spans="3:12">
      <c r="C2209" s="161">
        <f t="shared" si="153"/>
        <v>2018</v>
      </c>
      <c r="D2209" s="35" t="s">
        <v>293</v>
      </c>
      <c r="E2209" s="227">
        <v>43221</v>
      </c>
      <c r="F2209" s="156">
        <v>377319.8</v>
      </c>
      <c r="G2209" s="131">
        <f t="shared" si="154"/>
        <v>67615.708159999995</v>
      </c>
      <c r="H2209" s="156">
        <v>1834.12</v>
      </c>
      <c r="I2209" s="156">
        <v>0</v>
      </c>
      <c r="J2209" s="156">
        <v>0</v>
      </c>
      <c r="K2209" s="131">
        <f t="shared" si="155"/>
        <v>1834.12</v>
      </c>
      <c r="L2209" s="134">
        <v>0.1792</v>
      </c>
    </row>
    <row r="2210" spans="3:12">
      <c r="C2210" s="161">
        <f t="shared" si="153"/>
        <v>2018</v>
      </c>
      <c r="D2210" s="35" t="s">
        <v>293</v>
      </c>
      <c r="E2210" s="227">
        <v>43252</v>
      </c>
      <c r="F2210" s="156">
        <v>348665.32</v>
      </c>
      <c r="G2210" s="131">
        <f t="shared" si="154"/>
        <v>62480.825343999997</v>
      </c>
      <c r="H2210" s="156">
        <v>1275.98</v>
      </c>
      <c r="I2210" s="156">
        <v>0</v>
      </c>
      <c r="J2210" s="156">
        <v>0</v>
      </c>
      <c r="K2210" s="131">
        <f t="shared" si="155"/>
        <v>1275.98</v>
      </c>
      <c r="L2210" s="134">
        <v>0.1792</v>
      </c>
    </row>
    <row r="2211" spans="3:12">
      <c r="C2211" s="161">
        <f t="shared" si="153"/>
        <v>2018</v>
      </c>
      <c r="D2211" s="35" t="s">
        <v>293</v>
      </c>
      <c r="E2211" s="227">
        <v>43282</v>
      </c>
      <c r="F2211" s="156">
        <v>368707.26</v>
      </c>
      <c r="G2211" s="131">
        <f t="shared" si="154"/>
        <v>66072.340991999998</v>
      </c>
      <c r="H2211" s="156">
        <v>904.34</v>
      </c>
      <c r="I2211" s="156">
        <v>0</v>
      </c>
      <c r="J2211" s="156">
        <v>1036.05</v>
      </c>
      <c r="K2211" s="131">
        <f t="shared" si="155"/>
        <v>1940.3899999999999</v>
      </c>
      <c r="L2211" s="134">
        <v>0.1792</v>
      </c>
    </row>
    <row r="2212" spans="3:12">
      <c r="C2212" s="161">
        <f t="shared" si="153"/>
        <v>2018</v>
      </c>
      <c r="D2212" s="35" t="s">
        <v>293</v>
      </c>
      <c r="E2212" s="227">
        <v>43313</v>
      </c>
      <c r="F2212" s="156">
        <v>366121.61</v>
      </c>
      <c r="G2212" s="131">
        <f t="shared" si="154"/>
        <v>65608.992511999997</v>
      </c>
      <c r="H2212" s="156">
        <v>553.69000000000005</v>
      </c>
      <c r="I2212" s="156">
        <v>1667.03</v>
      </c>
      <c r="J2212" s="156">
        <v>0</v>
      </c>
      <c r="K2212" s="131">
        <f t="shared" si="155"/>
        <v>2220.7200000000003</v>
      </c>
      <c r="L2212" s="134">
        <v>0.1792</v>
      </c>
    </row>
    <row r="2213" spans="3:12">
      <c r="C2213" s="161">
        <f t="shared" si="153"/>
        <v>2018</v>
      </c>
      <c r="D2213" s="35" t="s">
        <v>293</v>
      </c>
      <c r="E2213" s="227">
        <v>43344</v>
      </c>
      <c r="F2213" s="156">
        <v>367862.29</v>
      </c>
      <c r="G2213" s="131">
        <f t="shared" si="154"/>
        <v>65920.922368</v>
      </c>
      <c r="H2213" s="156">
        <v>864.74</v>
      </c>
      <c r="I2213" s="156">
        <v>0</v>
      </c>
      <c r="J2213" s="156">
        <v>0</v>
      </c>
      <c r="K2213" s="131">
        <f t="shared" si="155"/>
        <v>864.74</v>
      </c>
      <c r="L2213" s="134">
        <v>0.1792</v>
      </c>
    </row>
    <row r="2214" spans="3:12">
      <c r="C2214" s="161">
        <f t="shared" si="153"/>
        <v>2018</v>
      </c>
      <c r="D2214" s="35" t="s">
        <v>293</v>
      </c>
      <c r="E2214" s="227">
        <v>43374</v>
      </c>
      <c r="F2214" s="156">
        <v>368240.72</v>
      </c>
      <c r="G2214" s="131">
        <f t="shared" si="154"/>
        <v>65988.737023999987</v>
      </c>
      <c r="H2214" s="156">
        <v>809.98</v>
      </c>
      <c r="I2214" s="156">
        <v>293606.81</v>
      </c>
      <c r="J2214" s="156">
        <v>0</v>
      </c>
      <c r="K2214" s="131">
        <f t="shared" si="155"/>
        <v>294416.78999999998</v>
      </c>
      <c r="L2214" s="134">
        <v>0.1792</v>
      </c>
    </row>
    <row r="2215" spans="3:12">
      <c r="C2215" s="161">
        <f t="shared" si="153"/>
        <v>2018</v>
      </c>
      <c r="D2215" s="35" t="s">
        <v>293</v>
      </c>
      <c r="E2215" s="227">
        <v>43405</v>
      </c>
      <c r="F2215" s="156">
        <v>412230.40484999999</v>
      </c>
      <c r="G2215" s="131">
        <f t="shared" si="154"/>
        <v>73871.688549119994</v>
      </c>
      <c r="H2215" s="156">
        <v>972.85</v>
      </c>
      <c r="I2215" s="156">
        <v>0</v>
      </c>
      <c r="J2215" s="156">
        <v>43222.5</v>
      </c>
      <c r="K2215" s="131">
        <f t="shared" si="155"/>
        <v>44195.35</v>
      </c>
      <c r="L2215" s="134">
        <v>0.1792</v>
      </c>
    </row>
    <row r="2216" spans="3:12">
      <c r="C2216" s="161">
        <f t="shared" si="153"/>
        <v>2018</v>
      </c>
      <c r="D2216" s="35" t="s">
        <v>293</v>
      </c>
      <c r="E2216" s="227">
        <v>43435</v>
      </c>
      <c r="F2216" s="156">
        <v>385157.86</v>
      </c>
      <c r="G2216" s="131">
        <f t="shared" si="154"/>
        <v>69020.288511999999</v>
      </c>
      <c r="H2216" s="156">
        <v>574.61</v>
      </c>
      <c r="I2216" s="156">
        <v>1464.44</v>
      </c>
      <c r="J2216" s="156" t="s">
        <v>267</v>
      </c>
      <c r="K2216" s="131">
        <f t="shared" si="155"/>
        <v>2039.0500000000002</v>
      </c>
      <c r="L2216" s="134">
        <v>0.1792</v>
      </c>
    </row>
    <row r="2217" spans="3:12">
      <c r="C2217" s="161">
        <f t="shared" si="153"/>
        <v>2019</v>
      </c>
      <c r="D2217" s="35" t="s">
        <v>293</v>
      </c>
      <c r="E2217" s="227">
        <v>43466</v>
      </c>
      <c r="F2217" s="156">
        <v>463216.48</v>
      </c>
      <c r="G2217" s="131">
        <f t="shared" si="154"/>
        <v>83008.393215999997</v>
      </c>
      <c r="H2217" s="156">
        <v>1493.98</v>
      </c>
      <c r="I2217" s="156">
        <v>831.76</v>
      </c>
      <c r="J2217" s="156">
        <v>1611</v>
      </c>
      <c r="K2217" s="131">
        <f t="shared" si="155"/>
        <v>3936.74</v>
      </c>
      <c r="L2217" s="134">
        <v>0.1792</v>
      </c>
    </row>
    <row r="2218" spans="3:12">
      <c r="C2218" s="161">
        <f t="shared" si="153"/>
        <v>2019</v>
      </c>
      <c r="D2218" s="35" t="s">
        <v>293</v>
      </c>
      <c r="E2218" s="227">
        <v>43497</v>
      </c>
      <c r="F2218" s="156">
        <v>396913.77</v>
      </c>
      <c r="G2218" s="131">
        <f t="shared" si="154"/>
        <v>71126.947584000009</v>
      </c>
      <c r="H2218" s="156">
        <v>2133.08</v>
      </c>
      <c r="I2218" s="156">
        <v>0</v>
      </c>
      <c r="J2218" s="156">
        <v>0</v>
      </c>
      <c r="K2218" s="131">
        <f t="shared" si="155"/>
        <v>2133.08</v>
      </c>
      <c r="L2218" s="134">
        <v>0.1792</v>
      </c>
    </row>
    <row r="2219" spans="3:12">
      <c r="C2219" s="161">
        <f t="shared" si="153"/>
        <v>2019</v>
      </c>
      <c r="D2219" s="35" t="s">
        <v>293</v>
      </c>
      <c r="E2219" s="227">
        <v>43525</v>
      </c>
      <c r="F2219" s="156">
        <v>360306.73</v>
      </c>
      <c r="G2219" s="131">
        <f t="shared" si="154"/>
        <v>64566.966015999998</v>
      </c>
      <c r="H2219" s="156">
        <v>1134.49</v>
      </c>
      <c r="I2219" s="156">
        <v>29.01</v>
      </c>
      <c r="J2219" s="156">
        <v>0</v>
      </c>
      <c r="K2219" s="131">
        <f t="shared" si="155"/>
        <v>1163.5</v>
      </c>
      <c r="L2219" s="134">
        <v>0.1792</v>
      </c>
    </row>
    <row r="2220" spans="3:12">
      <c r="C2220" s="161">
        <f t="shared" si="153"/>
        <v>2019</v>
      </c>
      <c r="D2220" s="35" t="s">
        <v>293</v>
      </c>
      <c r="E2220" s="227">
        <v>43556</v>
      </c>
      <c r="F2220" s="156">
        <v>375836.15</v>
      </c>
      <c r="G2220" s="131">
        <f t="shared" si="154"/>
        <v>67349.838080000001</v>
      </c>
      <c r="H2220" s="156">
        <v>5390.34</v>
      </c>
      <c r="I2220" s="156">
        <v>572.78</v>
      </c>
      <c r="J2220" s="156">
        <v>0</v>
      </c>
      <c r="K2220" s="131">
        <f t="shared" si="155"/>
        <v>5963.12</v>
      </c>
      <c r="L2220" s="134">
        <v>0.1792</v>
      </c>
    </row>
    <row r="2221" spans="3:12">
      <c r="C2221" s="161">
        <f t="shared" si="153"/>
        <v>2019</v>
      </c>
      <c r="D2221" s="35" t="s">
        <v>293</v>
      </c>
      <c r="E2221" s="227">
        <v>43586</v>
      </c>
      <c r="F2221" s="156">
        <v>367049.33</v>
      </c>
      <c r="G2221" s="131">
        <f t="shared" si="154"/>
        <v>65775.239935999998</v>
      </c>
      <c r="H2221" s="156">
        <v>3402.37</v>
      </c>
      <c r="I2221" s="156">
        <v>988.22</v>
      </c>
      <c r="J2221" s="156">
        <v>0</v>
      </c>
      <c r="K2221" s="131">
        <f t="shared" si="155"/>
        <v>4390.59</v>
      </c>
      <c r="L2221" s="134">
        <v>0.1792</v>
      </c>
    </row>
    <row r="2222" spans="3:12">
      <c r="C2222" s="161">
        <f t="shared" si="153"/>
        <v>2019</v>
      </c>
      <c r="D2222" s="35" t="s">
        <v>293</v>
      </c>
      <c r="E2222" s="227">
        <v>43617</v>
      </c>
      <c r="F2222" s="156">
        <v>367860.04</v>
      </c>
      <c r="G2222" s="131">
        <f t="shared" si="154"/>
        <v>65920.519167999999</v>
      </c>
      <c r="H2222" s="156">
        <v>9343.52</v>
      </c>
      <c r="I2222" s="156">
        <v>0</v>
      </c>
      <c r="J2222" s="156">
        <v>0</v>
      </c>
      <c r="K2222" s="131">
        <f t="shared" si="155"/>
        <v>9343.52</v>
      </c>
      <c r="L2222" s="134">
        <v>0.1792</v>
      </c>
    </row>
    <row r="2223" spans="3:12">
      <c r="C2223" s="161">
        <f t="shared" si="153"/>
        <v>2019</v>
      </c>
      <c r="D2223" s="35" t="s">
        <v>293</v>
      </c>
      <c r="E2223" s="227">
        <v>43647</v>
      </c>
      <c r="F2223" s="156">
        <v>375714.64</v>
      </c>
      <c r="G2223" s="131">
        <f t="shared" si="154"/>
        <v>67328.063488</v>
      </c>
      <c r="H2223" s="156">
        <v>2945.81</v>
      </c>
      <c r="I2223" s="156">
        <v>170943.08</v>
      </c>
      <c r="J2223" s="156">
        <v>1816.3</v>
      </c>
      <c r="K2223" s="131">
        <f t="shared" si="155"/>
        <v>175705.18999999997</v>
      </c>
      <c r="L2223" s="134">
        <v>0.1792</v>
      </c>
    </row>
    <row r="2224" spans="3:12">
      <c r="C2224" s="161">
        <f t="shared" si="153"/>
        <v>2019</v>
      </c>
      <c r="D2224" s="35" t="s">
        <v>293</v>
      </c>
      <c r="E2224" s="227">
        <v>43678</v>
      </c>
      <c r="F2224" s="156">
        <v>398011.26</v>
      </c>
      <c r="G2224" s="131">
        <f t="shared" si="154"/>
        <v>71323.617792000005</v>
      </c>
      <c r="H2224" s="156">
        <v>1917.96</v>
      </c>
      <c r="I2224" s="156">
        <v>0</v>
      </c>
      <c r="J2224" s="156">
        <v>0</v>
      </c>
      <c r="K2224" s="131">
        <f t="shared" si="155"/>
        <v>1917.96</v>
      </c>
      <c r="L2224" s="134">
        <v>0.1792</v>
      </c>
    </row>
    <row r="2225" spans="3:12">
      <c r="C2225" s="161">
        <f t="shared" si="153"/>
        <v>2019</v>
      </c>
      <c r="D2225" s="35" t="s">
        <v>293</v>
      </c>
      <c r="E2225" s="227">
        <v>43709</v>
      </c>
      <c r="F2225" s="156">
        <v>432732.19</v>
      </c>
      <c r="G2225" s="131">
        <f t="shared" si="154"/>
        <v>77545.608447999999</v>
      </c>
      <c r="H2225" s="156">
        <v>1815.34</v>
      </c>
      <c r="I2225" s="156">
        <v>0</v>
      </c>
      <c r="J2225" s="156">
        <v>7528.26</v>
      </c>
      <c r="K2225" s="131">
        <f t="shared" si="155"/>
        <v>9343.6</v>
      </c>
      <c r="L2225" s="134">
        <v>0.1792</v>
      </c>
    </row>
    <row r="2226" spans="3:12">
      <c r="C2226" s="161">
        <f t="shared" si="153"/>
        <v>2019</v>
      </c>
      <c r="D2226" s="35" t="s">
        <v>293</v>
      </c>
      <c r="E2226" s="227">
        <v>43739</v>
      </c>
      <c r="F2226" s="156">
        <v>429922.93</v>
      </c>
      <c r="G2226" s="131">
        <f t="shared" si="154"/>
        <v>77042.189056000003</v>
      </c>
      <c r="H2226" s="156">
        <v>1404.42</v>
      </c>
      <c r="I2226" s="156">
        <v>680.44</v>
      </c>
      <c r="J2226" s="156">
        <v>0</v>
      </c>
      <c r="K2226" s="131">
        <f t="shared" si="155"/>
        <v>2084.86</v>
      </c>
      <c r="L2226" s="134">
        <v>0.1792</v>
      </c>
    </row>
    <row r="2227" spans="3:12">
      <c r="C2227" s="161">
        <f t="shared" si="153"/>
        <v>2019</v>
      </c>
      <c r="D2227" s="35" t="s">
        <v>293</v>
      </c>
      <c r="E2227" s="227">
        <v>43770</v>
      </c>
      <c r="F2227" s="156">
        <v>478734.99</v>
      </c>
      <c r="G2227" s="131">
        <f t="shared" si="154"/>
        <v>85789.310207999995</v>
      </c>
      <c r="H2227" s="156">
        <v>1795.37</v>
      </c>
      <c r="I2227" s="156">
        <v>46456.03</v>
      </c>
      <c r="J2227" s="156">
        <v>0</v>
      </c>
      <c r="K2227" s="131">
        <f t="shared" si="155"/>
        <v>48251.4</v>
      </c>
      <c r="L2227" s="134">
        <v>0.1792</v>
      </c>
    </row>
    <row r="2228" spans="3:12">
      <c r="C2228" s="161">
        <f t="shared" si="153"/>
        <v>2019</v>
      </c>
      <c r="D2228" s="35" t="s">
        <v>293</v>
      </c>
      <c r="E2228" s="227">
        <v>43800</v>
      </c>
      <c r="F2228" s="156">
        <v>418605.9</v>
      </c>
      <c r="G2228" s="131">
        <f t="shared" si="154"/>
        <v>75014.177280000004</v>
      </c>
      <c r="H2228" s="156">
        <v>1753.48</v>
      </c>
      <c r="I2228" s="156">
        <v>209374.27</v>
      </c>
      <c r="J2228" s="156">
        <v>0</v>
      </c>
      <c r="K2228" s="131">
        <f t="shared" si="155"/>
        <v>211127.75</v>
      </c>
      <c r="L2228" s="134">
        <v>0.1792</v>
      </c>
    </row>
    <row r="2229" spans="3:12">
      <c r="C2229" s="161">
        <f t="shared" si="153"/>
        <v>2020</v>
      </c>
      <c r="D2229" s="35" t="s">
        <v>293</v>
      </c>
      <c r="E2229" s="227">
        <v>43831</v>
      </c>
      <c r="F2229" s="156">
        <v>440842.89</v>
      </c>
      <c r="G2229" s="131">
        <f t="shared" si="154"/>
        <v>78999.045888000008</v>
      </c>
      <c r="H2229" s="156">
        <v>1827.47</v>
      </c>
      <c r="I2229" s="156">
        <v>0</v>
      </c>
      <c r="J2229" s="156">
        <v>0</v>
      </c>
      <c r="K2229" s="131">
        <f t="shared" si="155"/>
        <v>1827.47</v>
      </c>
      <c r="L2229" s="134">
        <v>0.1792</v>
      </c>
    </row>
    <row r="2230" spans="3:12">
      <c r="C2230" s="161">
        <f t="shared" si="153"/>
        <v>2020</v>
      </c>
      <c r="D2230" s="35" t="s">
        <v>293</v>
      </c>
      <c r="E2230" s="227">
        <v>43862</v>
      </c>
      <c r="F2230" s="156">
        <v>409350.24</v>
      </c>
      <c r="G2230" s="131">
        <f t="shared" si="154"/>
        <v>73355.563007999997</v>
      </c>
      <c r="H2230" s="156">
        <v>1275.23</v>
      </c>
      <c r="I2230" s="156">
        <v>536.71</v>
      </c>
      <c r="J2230" s="156">
        <v>711.53</v>
      </c>
      <c r="K2230" s="131">
        <f t="shared" si="155"/>
        <v>2523.4700000000003</v>
      </c>
      <c r="L2230" s="134">
        <v>0.1792</v>
      </c>
    </row>
    <row r="2231" spans="3:12">
      <c r="C2231" s="161">
        <f t="shared" si="153"/>
        <v>2020</v>
      </c>
      <c r="D2231" s="35" t="s">
        <v>293</v>
      </c>
      <c r="E2231" s="227">
        <v>43891</v>
      </c>
      <c r="F2231" s="156">
        <v>419858.94967499998</v>
      </c>
      <c r="G2231" s="131">
        <f t="shared" si="154"/>
        <v>75238.723781759996</v>
      </c>
      <c r="H2231" s="156">
        <v>3237.56</v>
      </c>
      <c r="I2231" s="156">
        <v>223218.18</v>
      </c>
      <c r="J2231" s="156">
        <v>0</v>
      </c>
      <c r="K2231" s="131">
        <f t="shared" si="155"/>
        <v>226455.74</v>
      </c>
      <c r="L2231" s="134">
        <v>0.1792</v>
      </c>
    </row>
    <row r="2232" spans="3:12">
      <c r="C2232" s="161">
        <f t="shared" si="153"/>
        <v>2020</v>
      </c>
      <c r="D2232" s="35" t="s">
        <v>293</v>
      </c>
      <c r="E2232" s="227">
        <v>43922</v>
      </c>
      <c r="F2232" s="156">
        <v>441058.20412499999</v>
      </c>
      <c r="G2232" s="131">
        <f t="shared" si="154"/>
        <v>79037.630179200001</v>
      </c>
      <c r="H2232" s="156">
        <v>2217.86</v>
      </c>
      <c r="I2232" s="156">
        <v>22592.03</v>
      </c>
      <c r="J2232" s="156">
        <v>0</v>
      </c>
      <c r="K2232" s="131">
        <f t="shared" si="155"/>
        <v>24809.89</v>
      </c>
      <c r="L2232" s="134">
        <v>0.1792</v>
      </c>
    </row>
    <row r="2233" spans="3:12">
      <c r="C2233" s="161">
        <f t="shared" si="153"/>
        <v>2020</v>
      </c>
      <c r="D2233" s="35" t="s">
        <v>293</v>
      </c>
      <c r="E2233" s="227">
        <v>43952</v>
      </c>
      <c r="F2233" s="156">
        <v>402717.82</v>
      </c>
      <c r="G2233" s="131">
        <f t="shared" si="154"/>
        <v>72167.033343999996</v>
      </c>
      <c r="H2233" s="156">
        <v>1338.95</v>
      </c>
      <c r="I2233" s="156">
        <v>887.8</v>
      </c>
      <c r="J2233" s="156">
        <v>0</v>
      </c>
      <c r="K2233" s="131">
        <f t="shared" si="155"/>
        <v>2226.75</v>
      </c>
      <c r="L2233" s="134">
        <v>0.1792</v>
      </c>
    </row>
    <row r="2234" spans="3:12">
      <c r="C2234" s="161">
        <f t="shared" si="153"/>
        <v>2020</v>
      </c>
      <c r="D2234" s="35" t="s">
        <v>293</v>
      </c>
      <c r="E2234" s="227">
        <v>43983</v>
      </c>
      <c r="F2234" s="156">
        <v>394501.79</v>
      </c>
      <c r="G2234" s="131">
        <f t="shared" si="154"/>
        <v>70694.720767999999</v>
      </c>
      <c r="H2234" s="156">
        <v>2488.3000000000002</v>
      </c>
      <c r="I2234" s="156">
        <v>21669.16</v>
      </c>
      <c r="J2234" s="156">
        <v>0</v>
      </c>
      <c r="K2234" s="131">
        <f t="shared" si="155"/>
        <v>24157.46</v>
      </c>
      <c r="L2234" s="134">
        <v>0.1792</v>
      </c>
    </row>
    <row r="2235" spans="3:12">
      <c r="C2235" s="161">
        <f t="shared" si="153"/>
        <v>2020</v>
      </c>
      <c r="D2235" s="35" t="s">
        <v>293</v>
      </c>
      <c r="E2235" s="227">
        <v>44013</v>
      </c>
      <c r="F2235" s="156">
        <v>403160.51</v>
      </c>
      <c r="G2235" s="131">
        <f t="shared" si="154"/>
        <v>72246.363391999999</v>
      </c>
      <c r="H2235" s="156">
        <v>13794.03</v>
      </c>
      <c r="I2235" s="156">
        <v>578.07000000000005</v>
      </c>
      <c r="J2235" s="156">
        <v>0</v>
      </c>
      <c r="K2235" s="131">
        <f t="shared" si="155"/>
        <v>14372.1</v>
      </c>
      <c r="L2235" s="134">
        <v>0.1792</v>
      </c>
    </row>
    <row r="2236" spans="3:12">
      <c r="C2236" s="161">
        <f t="shared" si="153"/>
        <v>2020</v>
      </c>
      <c r="D2236" s="35" t="s">
        <v>293</v>
      </c>
      <c r="E2236" s="227">
        <v>44044</v>
      </c>
      <c r="F2236" s="156">
        <v>422307.57</v>
      </c>
      <c r="G2236" s="131">
        <f t="shared" si="154"/>
        <v>75677.516543999998</v>
      </c>
      <c r="H2236" s="156">
        <v>5999.08</v>
      </c>
      <c r="I2236" s="156">
        <v>15617.83</v>
      </c>
      <c r="J2236" s="156">
        <v>0</v>
      </c>
      <c r="K2236" s="131">
        <f t="shared" si="155"/>
        <v>21616.91</v>
      </c>
      <c r="L2236" s="134">
        <v>0.1792</v>
      </c>
    </row>
    <row r="2237" spans="3:12">
      <c r="C2237" s="161">
        <f t="shared" si="153"/>
        <v>2020</v>
      </c>
      <c r="D2237" s="35" t="s">
        <v>293</v>
      </c>
      <c r="E2237" s="227">
        <v>44075</v>
      </c>
      <c r="F2237" s="156">
        <v>446831.37</v>
      </c>
      <c r="G2237" s="131">
        <f t="shared" si="154"/>
        <v>80072.181503999993</v>
      </c>
      <c r="H2237" s="156">
        <v>9363.41</v>
      </c>
      <c r="I2237" s="156">
        <v>0</v>
      </c>
      <c r="J2237" s="156">
        <v>0</v>
      </c>
      <c r="K2237" s="131">
        <f t="shared" si="155"/>
        <v>9363.41</v>
      </c>
      <c r="L2237" s="134">
        <v>0.1792</v>
      </c>
    </row>
    <row r="2238" spans="3:12">
      <c r="C2238" s="161">
        <f t="shared" si="153"/>
        <v>2020</v>
      </c>
      <c r="D2238" s="35" t="s">
        <v>293</v>
      </c>
      <c r="E2238" s="227">
        <v>44105</v>
      </c>
      <c r="F2238" s="156">
        <v>460116.83</v>
      </c>
      <c r="G2238" s="131">
        <f t="shared" si="154"/>
        <v>82452.935936000009</v>
      </c>
      <c r="H2238" s="156">
        <v>1994.68</v>
      </c>
      <c r="I2238" s="156">
        <v>30991.51</v>
      </c>
      <c r="J2238" s="156">
        <v>0</v>
      </c>
      <c r="K2238" s="131">
        <f t="shared" si="155"/>
        <v>32986.189999999995</v>
      </c>
      <c r="L2238" s="134">
        <v>0.1792</v>
      </c>
    </row>
    <row r="2239" spans="3:12">
      <c r="C2239" s="161">
        <f t="shared" si="153"/>
        <v>2020</v>
      </c>
      <c r="D2239" s="35" t="s">
        <v>293</v>
      </c>
      <c r="E2239" s="227">
        <v>44136</v>
      </c>
      <c r="F2239" s="156">
        <v>434482.86</v>
      </c>
      <c r="G2239" s="131">
        <f t="shared" si="154"/>
        <v>77859.328511999993</v>
      </c>
      <c r="H2239" s="156">
        <v>2127.4</v>
      </c>
      <c r="I2239" s="156">
        <v>0</v>
      </c>
      <c r="J2239" s="156">
        <v>0</v>
      </c>
      <c r="K2239" s="131">
        <f t="shared" si="155"/>
        <v>2127.4</v>
      </c>
      <c r="L2239" s="134">
        <v>0.1792</v>
      </c>
    </row>
    <row r="2240" spans="3:12">
      <c r="C2240" s="161">
        <f t="shared" si="153"/>
        <v>2020</v>
      </c>
      <c r="D2240" s="35" t="s">
        <v>293</v>
      </c>
      <c r="E2240" s="227">
        <v>44166</v>
      </c>
      <c r="F2240" s="156">
        <v>454006.81</v>
      </c>
      <c r="G2240" s="131">
        <f t="shared" si="154"/>
        <v>81358.020351999992</v>
      </c>
      <c r="H2240" s="156">
        <v>5500.87</v>
      </c>
      <c r="I2240" s="156">
        <v>-5848.97</v>
      </c>
      <c r="J2240" s="156">
        <v>0</v>
      </c>
      <c r="K2240" s="131">
        <f t="shared" si="155"/>
        <v>-348.10000000000036</v>
      </c>
      <c r="L2240" s="134">
        <v>0.1792</v>
      </c>
    </row>
    <row r="2241" spans="3:12">
      <c r="C2241" s="161">
        <f t="shared" si="153"/>
        <v>2021</v>
      </c>
      <c r="D2241" s="35" t="s">
        <v>293</v>
      </c>
      <c r="E2241" s="227">
        <v>44197</v>
      </c>
      <c r="F2241" s="156">
        <v>466589.16</v>
      </c>
      <c r="G2241" s="131">
        <f t="shared" si="154"/>
        <v>83612.777472000002</v>
      </c>
      <c r="H2241" s="156">
        <v>492454.06</v>
      </c>
      <c r="I2241" s="156">
        <v>0</v>
      </c>
      <c r="J2241" s="156">
        <v>0</v>
      </c>
      <c r="K2241" s="131">
        <f t="shared" si="155"/>
        <v>492454.06</v>
      </c>
      <c r="L2241" s="134">
        <v>0.1792</v>
      </c>
    </row>
    <row r="2242" spans="3:12">
      <c r="C2242" s="161">
        <f t="shared" si="153"/>
        <v>2021</v>
      </c>
      <c r="D2242" s="35" t="s">
        <v>293</v>
      </c>
      <c r="E2242" s="227">
        <v>44229</v>
      </c>
      <c r="F2242" s="156">
        <v>453810.61</v>
      </c>
      <c r="G2242" s="131">
        <f t="shared" si="154"/>
        <v>81322.861311999994</v>
      </c>
      <c r="H2242" s="156">
        <v>15756.1</v>
      </c>
      <c r="I2242" s="156">
        <v>0</v>
      </c>
      <c r="J2242" s="156">
        <v>0</v>
      </c>
      <c r="K2242" s="131">
        <f t="shared" si="155"/>
        <v>15756.1</v>
      </c>
      <c r="L2242" s="134">
        <v>0.1792</v>
      </c>
    </row>
    <row r="2243" spans="3:12">
      <c r="C2243" s="161">
        <f t="shared" si="153"/>
        <v>2021</v>
      </c>
      <c r="D2243" s="35" t="s">
        <v>293</v>
      </c>
      <c r="E2243" s="227">
        <v>44258</v>
      </c>
      <c r="F2243" s="156">
        <v>413624.42</v>
      </c>
      <c r="G2243" s="131">
        <f t="shared" si="154"/>
        <v>74121.496063999992</v>
      </c>
      <c r="H2243" s="156">
        <v>4716.24</v>
      </c>
      <c r="I2243" s="156">
        <v>27382.23</v>
      </c>
      <c r="J2243" s="156">
        <v>0</v>
      </c>
      <c r="K2243" s="131">
        <f t="shared" si="155"/>
        <v>32098.47</v>
      </c>
      <c r="L2243" s="134">
        <v>0.1792</v>
      </c>
    </row>
    <row r="2244" spans="3:12">
      <c r="C2244" s="161">
        <f t="shared" ref="C2244:C2307" si="156">YEAR(E2244)</f>
        <v>2021</v>
      </c>
      <c r="D2244" s="35" t="s">
        <v>293</v>
      </c>
      <c r="E2244" s="227">
        <v>44290</v>
      </c>
      <c r="F2244" s="156">
        <v>473614.9</v>
      </c>
      <c r="G2244" s="131">
        <f t="shared" ref="G2244:G2307" si="157">F2244*L2244</f>
        <v>84871.790080000006</v>
      </c>
      <c r="H2244" s="156">
        <v>18821.97</v>
      </c>
      <c r="I2244" s="156">
        <v>4836.8900000000003</v>
      </c>
      <c r="J2244" s="156">
        <v>0</v>
      </c>
      <c r="K2244" s="131">
        <f t="shared" ref="K2244:K2307" si="158">SUM(H2244:J2244)</f>
        <v>23658.86</v>
      </c>
      <c r="L2244" s="134">
        <v>0.1792</v>
      </c>
    </row>
    <row r="2245" spans="3:12">
      <c r="C2245" s="161">
        <f t="shared" si="156"/>
        <v>2021</v>
      </c>
      <c r="D2245" s="35" t="s">
        <v>293</v>
      </c>
      <c r="E2245" s="227">
        <v>44321</v>
      </c>
      <c r="F2245" s="156">
        <v>419159.86</v>
      </c>
      <c r="G2245" s="131">
        <f t="shared" si="157"/>
        <v>75113.446911999999</v>
      </c>
      <c r="H2245" s="156">
        <v>6404.55</v>
      </c>
      <c r="I2245" s="156">
        <v>0</v>
      </c>
      <c r="J2245" s="156">
        <v>0</v>
      </c>
      <c r="K2245" s="131">
        <f t="shared" si="158"/>
        <v>6404.55</v>
      </c>
      <c r="L2245" s="134">
        <v>0.1792</v>
      </c>
    </row>
    <row r="2246" spans="3:12">
      <c r="C2246" s="161">
        <f t="shared" si="156"/>
        <v>2021</v>
      </c>
      <c r="D2246" s="35" t="s">
        <v>293</v>
      </c>
      <c r="E2246" s="227">
        <v>44353</v>
      </c>
      <c r="F2246" s="156">
        <v>396972.07</v>
      </c>
      <c r="G2246" s="131">
        <f t="shared" si="157"/>
        <v>71137.394944</v>
      </c>
      <c r="H2246" s="156">
        <v>1550.08</v>
      </c>
      <c r="I2246" s="156">
        <v>0</v>
      </c>
      <c r="J2246" s="156">
        <v>0</v>
      </c>
      <c r="K2246" s="131">
        <f t="shared" si="158"/>
        <v>1550.08</v>
      </c>
      <c r="L2246" s="134">
        <v>0.1792</v>
      </c>
    </row>
    <row r="2247" spans="3:12">
      <c r="C2247" s="161">
        <f t="shared" si="156"/>
        <v>2015</v>
      </c>
      <c r="D2247" s="35" t="s">
        <v>294</v>
      </c>
      <c r="E2247" s="227">
        <v>42309</v>
      </c>
      <c r="F2247" s="156">
        <v>214902.24</v>
      </c>
      <c r="G2247" s="131">
        <f t="shared" si="157"/>
        <v>38510.481408</v>
      </c>
      <c r="H2247" s="156">
        <v>15543.27</v>
      </c>
      <c r="I2247" s="156">
        <v>0</v>
      </c>
      <c r="J2247" s="156">
        <v>0</v>
      </c>
      <c r="K2247" s="131">
        <f t="shared" si="158"/>
        <v>15543.27</v>
      </c>
      <c r="L2247" s="134">
        <v>0.1792</v>
      </c>
    </row>
    <row r="2248" spans="3:12">
      <c r="C2248" s="161">
        <f t="shared" si="156"/>
        <v>2015</v>
      </c>
      <c r="D2248" s="35" t="s">
        <v>294</v>
      </c>
      <c r="E2248" s="227">
        <v>42339</v>
      </c>
      <c r="F2248" s="156">
        <v>210930.35</v>
      </c>
      <c r="G2248" s="131">
        <f t="shared" si="157"/>
        <v>37798.718719999997</v>
      </c>
      <c r="H2248" s="156">
        <v>18557.11</v>
      </c>
      <c r="I2248" s="156">
        <v>0</v>
      </c>
      <c r="J2248" s="156">
        <v>0</v>
      </c>
      <c r="K2248" s="131">
        <f t="shared" si="158"/>
        <v>18557.11</v>
      </c>
      <c r="L2248" s="134">
        <v>0.1792</v>
      </c>
    </row>
    <row r="2249" spans="3:12">
      <c r="C2249" s="161">
        <f t="shared" si="156"/>
        <v>2016</v>
      </c>
      <c r="D2249" s="35" t="s">
        <v>294</v>
      </c>
      <c r="E2249" s="227">
        <v>42370</v>
      </c>
      <c r="F2249" s="156">
        <v>222186.46</v>
      </c>
      <c r="G2249" s="131">
        <f t="shared" si="157"/>
        <v>39815.813631999998</v>
      </c>
      <c r="H2249" s="156">
        <v>16384.18</v>
      </c>
      <c r="I2249" s="156">
        <v>0</v>
      </c>
      <c r="J2249" s="156">
        <v>0</v>
      </c>
      <c r="K2249" s="131">
        <f t="shared" si="158"/>
        <v>16384.18</v>
      </c>
      <c r="L2249" s="134">
        <v>0.1792</v>
      </c>
    </row>
    <row r="2250" spans="3:12">
      <c r="C2250" s="161">
        <f t="shared" si="156"/>
        <v>2016</v>
      </c>
      <c r="D2250" s="35" t="s">
        <v>294</v>
      </c>
      <c r="E2250" s="227">
        <v>42401</v>
      </c>
      <c r="F2250" s="156">
        <v>223099.3</v>
      </c>
      <c r="G2250" s="131">
        <f t="shared" si="157"/>
        <v>39979.394560000001</v>
      </c>
      <c r="H2250" s="156">
        <v>2641.51</v>
      </c>
      <c r="I2250" s="156">
        <v>0</v>
      </c>
      <c r="J2250" s="156">
        <v>0</v>
      </c>
      <c r="K2250" s="131">
        <f t="shared" si="158"/>
        <v>2641.51</v>
      </c>
      <c r="L2250" s="134">
        <v>0.1792</v>
      </c>
    </row>
    <row r="2251" spans="3:12">
      <c r="C2251" s="161">
        <f t="shared" si="156"/>
        <v>2016</v>
      </c>
      <c r="D2251" s="35" t="s">
        <v>294</v>
      </c>
      <c r="E2251" s="227">
        <v>42430</v>
      </c>
      <c r="F2251" s="156">
        <v>200717.18</v>
      </c>
      <c r="G2251" s="131">
        <f t="shared" si="157"/>
        <v>35968.518656</v>
      </c>
      <c r="H2251" s="156">
        <v>748.27</v>
      </c>
      <c r="I2251" s="156">
        <v>0</v>
      </c>
      <c r="J2251" s="156">
        <v>0</v>
      </c>
      <c r="K2251" s="131">
        <f t="shared" si="158"/>
        <v>748.27</v>
      </c>
      <c r="L2251" s="134">
        <v>0.1792</v>
      </c>
    </row>
    <row r="2252" spans="3:12">
      <c r="C2252" s="161">
        <f t="shared" si="156"/>
        <v>2016</v>
      </c>
      <c r="D2252" s="35" t="s">
        <v>294</v>
      </c>
      <c r="E2252" s="227">
        <v>42461</v>
      </c>
      <c r="F2252" s="156">
        <v>231819.5</v>
      </c>
      <c r="G2252" s="131">
        <f t="shared" si="157"/>
        <v>41542.054400000001</v>
      </c>
      <c r="H2252" s="156">
        <v>14171.13</v>
      </c>
      <c r="I2252" s="156">
        <v>0</v>
      </c>
      <c r="J2252" s="156">
        <v>0</v>
      </c>
      <c r="K2252" s="131">
        <f t="shared" si="158"/>
        <v>14171.13</v>
      </c>
      <c r="L2252" s="134">
        <v>0.1792</v>
      </c>
    </row>
    <row r="2253" spans="3:12">
      <c r="C2253" s="161">
        <f t="shared" si="156"/>
        <v>2016</v>
      </c>
      <c r="D2253" s="35" t="s">
        <v>294</v>
      </c>
      <c r="E2253" s="227">
        <v>42491</v>
      </c>
      <c r="F2253" s="156">
        <v>170680.06</v>
      </c>
      <c r="G2253" s="131">
        <f t="shared" si="157"/>
        <v>30585.866751999998</v>
      </c>
      <c r="H2253" s="156">
        <v>66491.600000000006</v>
      </c>
      <c r="I2253" s="156">
        <v>0</v>
      </c>
      <c r="J2253" s="156">
        <v>0</v>
      </c>
      <c r="K2253" s="131">
        <f t="shared" si="158"/>
        <v>66491.600000000006</v>
      </c>
      <c r="L2253" s="134">
        <v>0.1792</v>
      </c>
    </row>
    <row r="2254" spans="3:12">
      <c r="C2254" s="161">
        <f t="shared" si="156"/>
        <v>2016</v>
      </c>
      <c r="D2254" s="35" t="s">
        <v>294</v>
      </c>
      <c r="E2254" s="227">
        <v>42522</v>
      </c>
      <c r="F2254" s="156">
        <v>196123.71</v>
      </c>
      <c r="G2254" s="131">
        <f t="shared" si="157"/>
        <v>35145.368832</v>
      </c>
      <c r="H2254" s="156">
        <v>92082.09</v>
      </c>
      <c r="I2254" s="156">
        <v>0</v>
      </c>
      <c r="J2254" s="156">
        <v>0</v>
      </c>
      <c r="K2254" s="131">
        <f t="shared" si="158"/>
        <v>92082.09</v>
      </c>
      <c r="L2254" s="134">
        <v>0.1792</v>
      </c>
    </row>
    <row r="2255" spans="3:12">
      <c r="C2255" s="161">
        <f t="shared" si="156"/>
        <v>2016</v>
      </c>
      <c r="D2255" s="35" t="s">
        <v>294</v>
      </c>
      <c r="E2255" s="227">
        <v>42552</v>
      </c>
      <c r="F2255" s="156">
        <v>211723.12</v>
      </c>
      <c r="G2255" s="131">
        <f t="shared" si="157"/>
        <v>37940.783104000002</v>
      </c>
      <c r="H2255" s="156">
        <v>626.82000000000005</v>
      </c>
      <c r="I2255" s="156">
        <v>0</v>
      </c>
      <c r="J2255" s="156">
        <v>3980</v>
      </c>
      <c r="K2255" s="131">
        <f t="shared" si="158"/>
        <v>4606.82</v>
      </c>
      <c r="L2255" s="134">
        <v>0.1792</v>
      </c>
    </row>
    <row r="2256" spans="3:12">
      <c r="C2256" s="161">
        <f t="shared" si="156"/>
        <v>2016</v>
      </c>
      <c r="D2256" s="35" t="s">
        <v>294</v>
      </c>
      <c r="E2256" s="227">
        <v>42583</v>
      </c>
      <c r="F2256" s="156">
        <v>218579.22</v>
      </c>
      <c r="G2256" s="131">
        <f t="shared" si="157"/>
        <v>39169.396223999996</v>
      </c>
      <c r="H2256" s="156">
        <v>18463.91</v>
      </c>
      <c r="I2256" s="156">
        <v>0</v>
      </c>
      <c r="J2256" s="156">
        <v>0</v>
      </c>
      <c r="K2256" s="131">
        <f t="shared" si="158"/>
        <v>18463.91</v>
      </c>
      <c r="L2256" s="134">
        <v>0.1792</v>
      </c>
    </row>
    <row r="2257" spans="3:12">
      <c r="C2257" s="161">
        <f t="shared" si="156"/>
        <v>2016</v>
      </c>
      <c r="D2257" s="35" t="s">
        <v>294</v>
      </c>
      <c r="E2257" s="227">
        <v>42614</v>
      </c>
      <c r="F2257" s="156">
        <v>224626.12</v>
      </c>
      <c r="G2257" s="131">
        <f t="shared" si="157"/>
        <v>40253.000703999998</v>
      </c>
      <c r="H2257" s="156">
        <v>4723.28</v>
      </c>
      <c r="I2257" s="156">
        <v>0</v>
      </c>
      <c r="J2257" s="156">
        <v>0</v>
      </c>
      <c r="K2257" s="131">
        <f t="shared" si="158"/>
        <v>4723.28</v>
      </c>
      <c r="L2257" s="134">
        <v>0.1792</v>
      </c>
    </row>
    <row r="2258" spans="3:12">
      <c r="C2258" s="161">
        <f t="shared" si="156"/>
        <v>2016</v>
      </c>
      <c r="D2258" s="35" t="s">
        <v>294</v>
      </c>
      <c r="E2258" s="227">
        <v>42644</v>
      </c>
      <c r="F2258" s="156">
        <v>235574.41</v>
      </c>
      <c r="G2258" s="131">
        <f t="shared" si="157"/>
        <v>42214.934271999999</v>
      </c>
      <c r="H2258" s="156">
        <v>966636.48</v>
      </c>
      <c r="I2258" s="156">
        <v>0</v>
      </c>
      <c r="J2258" s="156">
        <v>0</v>
      </c>
      <c r="K2258" s="131">
        <f t="shared" si="158"/>
        <v>966636.48</v>
      </c>
      <c r="L2258" s="134">
        <v>0.1792</v>
      </c>
    </row>
    <row r="2259" spans="3:12">
      <c r="C2259" s="161">
        <f t="shared" si="156"/>
        <v>2016</v>
      </c>
      <c r="D2259" s="35" t="s">
        <v>294</v>
      </c>
      <c r="E2259" s="227">
        <v>42675</v>
      </c>
      <c r="F2259" s="156">
        <v>224573.98</v>
      </c>
      <c r="G2259" s="131">
        <f t="shared" si="157"/>
        <v>40243.657216</v>
      </c>
      <c r="H2259" s="156">
        <v>24082.21</v>
      </c>
      <c r="I2259" s="156">
        <v>0</v>
      </c>
      <c r="J2259" s="156">
        <v>0</v>
      </c>
      <c r="K2259" s="131">
        <f t="shared" si="158"/>
        <v>24082.21</v>
      </c>
      <c r="L2259" s="134">
        <v>0.1792</v>
      </c>
    </row>
    <row r="2260" spans="3:12">
      <c r="C2260" s="161">
        <f t="shared" si="156"/>
        <v>2016</v>
      </c>
      <c r="D2260" s="35" t="s">
        <v>294</v>
      </c>
      <c r="E2260" s="227">
        <v>42705</v>
      </c>
      <c r="F2260" s="156">
        <v>228302.09</v>
      </c>
      <c r="G2260" s="131">
        <f t="shared" si="157"/>
        <v>40911.734528000001</v>
      </c>
      <c r="H2260" s="156">
        <v>2783.21</v>
      </c>
      <c r="I2260" s="156">
        <v>0</v>
      </c>
      <c r="J2260" s="156">
        <v>0</v>
      </c>
      <c r="K2260" s="131">
        <f t="shared" si="158"/>
        <v>2783.21</v>
      </c>
      <c r="L2260" s="134">
        <v>0.1792</v>
      </c>
    </row>
    <row r="2261" spans="3:12">
      <c r="C2261" s="161">
        <f t="shared" si="156"/>
        <v>2017</v>
      </c>
      <c r="D2261" s="35" t="s">
        <v>294</v>
      </c>
      <c r="E2261" s="227">
        <v>42736</v>
      </c>
      <c r="F2261" s="156">
        <v>245451.22</v>
      </c>
      <c r="G2261" s="131">
        <f t="shared" si="157"/>
        <v>43984.858624</v>
      </c>
      <c r="H2261" s="156">
        <v>2668.44</v>
      </c>
      <c r="I2261" s="156">
        <v>0</v>
      </c>
      <c r="J2261" s="156">
        <v>0</v>
      </c>
      <c r="K2261" s="131">
        <f t="shared" si="158"/>
        <v>2668.44</v>
      </c>
      <c r="L2261" s="134">
        <v>0.1792</v>
      </c>
    </row>
    <row r="2262" spans="3:12">
      <c r="C2262" s="161">
        <f t="shared" si="156"/>
        <v>2017</v>
      </c>
      <c r="D2262" s="35" t="s">
        <v>294</v>
      </c>
      <c r="E2262" s="227">
        <v>42767</v>
      </c>
      <c r="F2262" s="156">
        <v>230665.75</v>
      </c>
      <c r="G2262" s="131">
        <f t="shared" si="157"/>
        <v>41335.3024</v>
      </c>
      <c r="H2262" s="156">
        <v>940.93</v>
      </c>
      <c r="I2262" s="156">
        <v>0</v>
      </c>
      <c r="J2262" s="156">
        <v>0</v>
      </c>
      <c r="K2262" s="131">
        <f t="shared" si="158"/>
        <v>940.93</v>
      </c>
      <c r="L2262" s="134">
        <v>0.1792</v>
      </c>
    </row>
    <row r="2263" spans="3:12">
      <c r="C2263" s="161">
        <f t="shared" si="156"/>
        <v>2017</v>
      </c>
      <c r="D2263" s="35" t="s">
        <v>294</v>
      </c>
      <c r="E2263" s="227">
        <v>42795</v>
      </c>
      <c r="F2263" s="156">
        <v>225463.56</v>
      </c>
      <c r="G2263" s="131">
        <f t="shared" si="157"/>
        <v>40403.069951999998</v>
      </c>
      <c r="H2263" s="156">
        <v>2310.84</v>
      </c>
      <c r="I2263" s="156">
        <v>0</v>
      </c>
      <c r="J2263" s="156">
        <v>266</v>
      </c>
      <c r="K2263" s="131">
        <f t="shared" si="158"/>
        <v>2576.84</v>
      </c>
      <c r="L2263" s="134">
        <v>0.1792</v>
      </c>
    </row>
    <row r="2264" spans="3:12">
      <c r="C2264" s="161">
        <f t="shared" si="156"/>
        <v>2017</v>
      </c>
      <c r="D2264" s="35" t="s">
        <v>294</v>
      </c>
      <c r="E2264" s="227">
        <v>42826</v>
      </c>
      <c r="F2264" s="156">
        <v>219511.73</v>
      </c>
      <c r="G2264" s="131">
        <f t="shared" si="157"/>
        <v>39336.502015999999</v>
      </c>
      <c r="H2264" s="156">
        <v>9411.0300000000007</v>
      </c>
      <c r="I2264" s="156">
        <v>0</v>
      </c>
      <c r="J2264" s="156">
        <v>0</v>
      </c>
      <c r="K2264" s="131">
        <f t="shared" si="158"/>
        <v>9411.0300000000007</v>
      </c>
      <c r="L2264" s="134">
        <v>0.1792</v>
      </c>
    </row>
    <row r="2265" spans="3:12">
      <c r="C2265" s="161">
        <f t="shared" si="156"/>
        <v>2017</v>
      </c>
      <c r="D2265" s="35" t="s">
        <v>294</v>
      </c>
      <c r="E2265" s="227">
        <v>42856</v>
      </c>
      <c r="F2265" s="156">
        <v>222764.31</v>
      </c>
      <c r="G2265" s="131">
        <f t="shared" si="157"/>
        <v>39919.364351999997</v>
      </c>
      <c r="H2265" s="156">
        <v>1073.8800000000001</v>
      </c>
      <c r="I2265" s="156">
        <v>0</v>
      </c>
      <c r="J2265" s="156">
        <v>0</v>
      </c>
      <c r="K2265" s="131">
        <f t="shared" si="158"/>
        <v>1073.8800000000001</v>
      </c>
      <c r="L2265" s="134">
        <v>0.1792</v>
      </c>
    </row>
    <row r="2266" spans="3:12">
      <c r="C2266" s="161">
        <f t="shared" si="156"/>
        <v>2017</v>
      </c>
      <c r="D2266" s="35" t="s">
        <v>294</v>
      </c>
      <c r="E2266" s="227">
        <v>42887</v>
      </c>
      <c r="F2266" s="156">
        <v>203101.84</v>
      </c>
      <c r="G2266" s="131">
        <f t="shared" si="157"/>
        <v>36395.849728000001</v>
      </c>
      <c r="H2266" s="156">
        <v>3504.32</v>
      </c>
      <c r="I2266" s="156">
        <v>0</v>
      </c>
      <c r="J2266" s="156">
        <v>0</v>
      </c>
      <c r="K2266" s="131">
        <f t="shared" si="158"/>
        <v>3504.32</v>
      </c>
      <c r="L2266" s="134">
        <v>0.1792</v>
      </c>
    </row>
    <row r="2267" spans="3:12">
      <c r="C2267" s="161">
        <f t="shared" si="156"/>
        <v>2017</v>
      </c>
      <c r="D2267" s="35" t="s">
        <v>294</v>
      </c>
      <c r="E2267" s="227">
        <v>42917</v>
      </c>
      <c r="F2267" s="156">
        <v>209717.15</v>
      </c>
      <c r="G2267" s="131">
        <f t="shared" si="157"/>
        <v>37581.313280000002</v>
      </c>
      <c r="H2267" s="156">
        <v>2318.65</v>
      </c>
      <c r="I2267" s="156">
        <v>0</v>
      </c>
      <c r="J2267" s="156">
        <v>0</v>
      </c>
      <c r="K2267" s="131">
        <f t="shared" si="158"/>
        <v>2318.65</v>
      </c>
      <c r="L2267" s="134">
        <v>0.1792</v>
      </c>
    </row>
    <row r="2268" spans="3:12">
      <c r="C2268" s="161">
        <f t="shared" si="156"/>
        <v>2017</v>
      </c>
      <c r="D2268" s="35" t="s">
        <v>294</v>
      </c>
      <c r="E2268" s="227">
        <v>42948</v>
      </c>
      <c r="F2268" s="156">
        <v>231115.3</v>
      </c>
      <c r="G2268" s="131">
        <f t="shared" si="157"/>
        <v>41415.86176</v>
      </c>
      <c r="H2268" s="156">
        <v>2187.54</v>
      </c>
      <c r="I2268" s="156">
        <v>0</v>
      </c>
      <c r="J2268" s="156">
        <v>0</v>
      </c>
      <c r="K2268" s="131">
        <f t="shared" si="158"/>
        <v>2187.54</v>
      </c>
      <c r="L2268" s="134">
        <v>0.1792</v>
      </c>
    </row>
    <row r="2269" spans="3:12">
      <c r="C2269" s="161">
        <f t="shared" si="156"/>
        <v>2017</v>
      </c>
      <c r="D2269" s="35" t="s">
        <v>294</v>
      </c>
      <c r="E2269" s="227">
        <v>42979</v>
      </c>
      <c r="F2269" s="156">
        <v>246210.07</v>
      </c>
      <c r="G2269" s="131">
        <f t="shared" si="157"/>
        <v>44120.844544</v>
      </c>
      <c r="H2269" s="156">
        <v>777.21</v>
      </c>
      <c r="I2269" s="156">
        <v>0</v>
      </c>
      <c r="J2269" s="156">
        <v>0</v>
      </c>
      <c r="K2269" s="131">
        <f t="shared" si="158"/>
        <v>777.21</v>
      </c>
      <c r="L2269" s="134">
        <v>0.1792</v>
      </c>
    </row>
    <row r="2270" spans="3:12">
      <c r="C2270" s="161">
        <f t="shared" si="156"/>
        <v>2017</v>
      </c>
      <c r="D2270" s="35" t="s">
        <v>294</v>
      </c>
      <c r="E2270" s="227">
        <v>43009</v>
      </c>
      <c r="F2270" s="156">
        <v>251392.01</v>
      </c>
      <c r="G2270" s="131">
        <f t="shared" si="157"/>
        <v>45049.448192000003</v>
      </c>
      <c r="H2270" s="156">
        <v>888.92</v>
      </c>
      <c r="I2270" s="156">
        <v>0</v>
      </c>
      <c r="J2270" s="156">
        <v>0</v>
      </c>
      <c r="K2270" s="131">
        <f t="shared" si="158"/>
        <v>888.92</v>
      </c>
      <c r="L2270" s="134">
        <v>0.1792</v>
      </c>
    </row>
    <row r="2271" spans="3:12">
      <c r="C2271" s="161">
        <f t="shared" si="156"/>
        <v>2017</v>
      </c>
      <c r="D2271" s="35" t="s">
        <v>294</v>
      </c>
      <c r="E2271" s="227">
        <v>43040</v>
      </c>
      <c r="F2271" s="156">
        <v>233854.95</v>
      </c>
      <c r="G2271" s="131">
        <f t="shared" si="157"/>
        <v>41906.80704</v>
      </c>
      <c r="H2271" s="156">
        <v>26773.49</v>
      </c>
      <c r="I2271" s="156">
        <v>0</v>
      </c>
      <c r="J2271" s="156">
        <v>0</v>
      </c>
      <c r="K2271" s="131">
        <f t="shared" si="158"/>
        <v>26773.49</v>
      </c>
      <c r="L2271" s="134">
        <v>0.1792</v>
      </c>
    </row>
    <row r="2272" spans="3:12">
      <c r="C2272" s="161">
        <f t="shared" si="156"/>
        <v>2017</v>
      </c>
      <c r="D2272" s="35" t="s">
        <v>294</v>
      </c>
      <c r="E2272" s="227">
        <v>43070</v>
      </c>
      <c r="F2272" s="156">
        <v>243347.12</v>
      </c>
      <c r="G2272" s="131">
        <f t="shared" si="157"/>
        <v>43607.803904</v>
      </c>
      <c r="H2272" s="156">
        <v>830.47</v>
      </c>
      <c r="I2272" s="156" t="s">
        <v>267</v>
      </c>
      <c r="J2272" s="156" t="s">
        <v>267</v>
      </c>
      <c r="K2272" s="131">
        <f t="shared" si="158"/>
        <v>830.47</v>
      </c>
      <c r="L2272" s="134">
        <v>0.1792</v>
      </c>
    </row>
    <row r="2273" spans="3:12">
      <c r="C2273" s="161">
        <f t="shared" si="156"/>
        <v>2018</v>
      </c>
      <c r="D2273" s="35" t="s">
        <v>294</v>
      </c>
      <c r="E2273" s="227">
        <v>43101</v>
      </c>
      <c r="F2273" s="156">
        <v>246076.85</v>
      </c>
      <c r="G2273" s="131">
        <f t="shared" si="157"/>
        <v>44096.971519999999</v>
      </c>
      <c r="H2273" s="156">
        <v>359.49</v>
      </c>
      <c r="I2273" s="156">
        <v>0</v>
      </c>
      <c r="J2273" s="156">
        <v>0</v>
      </c>
      <c r="K2273" s="131">
        <f t="shared" si="158"/>
        <v>359.49</v>
      </c>
      <c r="L2273" s="134">
        <v>0.1792</v>
      </c>
    </row>
    <row r="2274" spans="3:12">
      <c r="C2274" s="161">
        <f t="shared" si="156"/>
        <v>2018</v>
      </c>
      <c r="D2274" s="35" t="s">
        <v>294</v>
      </c>
      <c r="E2274" s="227">
        <v>43132</v>
      </c>
      <c r="F2274" s="156">
        <v>240267.36</v>
      </c>
      <c r="G2274" s="131">
        <f t="shared" si="157"/>
        <v>43055.910911999999</v>
      </c>
      <c r="H2274" s="156">
        <v>329.67</v>
      </c>
      <c r="I2274" s="156">
        <v>0</v>
      </c>
      <c r="J2274" s="156">
        <v>0</v>
      </c>
      <c r="K2274" s="131">
        <f t="shared" si="158"/>
        <v>329.67</v>
      </c>
      <c r="L2274" s="134">
        <v>0.1792</v>
      </c>
    </row>
    <row r="2275" spans="3:12">
      <c r="C2275" s="161">
        <f t="shared" si="156"/>
        <v>2018</v>
      </c>
      <c r="D2275" s="35" t="s">
        <v>294</v>
      </c>
      <c r="E2275" s="227">
        <v>43160</v>
      </c>
      <c r="F2275" s="156">
        <v>218829.06</v>
      </c>
      <c r="G2275" s="131">
        <f t="shared" si="157"/>
        <v>39214.167551999999</v>
      </c>
      <c r="H2275" s="156">
        <v>1486.54</v>
      </c>
      <c r="I2275" s="156">
        <v>0</v>
      </c>
      <c r="J2275" s="156">
        <v>0</v>
      </c>
      <c r="K2275" s="131">
        <f t="shared" si="158"/>
        <v>1486.54</v>
      </c>
      <c r="L2275" s="134">
        <v>0.1792</v>
      </c>
    </row>
    <row r="2276" spans="3:12">
      <c r="C2276" s="161">
        <f t="shared" si="156"/>
        <v>2018</v>
      </c>
      <c r="D2276" s="35" t="s">
        <v>294</v>
      </c>
      <c r="E2276" s="227">
        <v>43191</v>
      </c>
      <c r="F2276" s="156">
        <v>248566.39999999999</v>
      </c>
      <c r="G2276" s="131">
        <f t="shared" si="157"/>
        <v>44543.098879999998</v>
      </c>
      <c r="H2276" s="156">
        <v>1312.54</v>
      </c>
      <c r="I2276" s="156">
        <v>0</v>
      </c>
      <c r="J2276" s="156">
        <v>0</v>
      </c>
      <c r="K2276" s="131">
        <f t="shared" si="158"/>
        <v>1312.54</v>
      </c>
      <c r="L2276" s="134">
        <v>0.1792</v>
      </c>
    </row>
    <row r="2277" spans="3:12">
      <c r="C2277" s="161">
        <f t="shared" si="156"/>
        <v>2018</v>
      </c>
      <c r="D2277" s="35" t="s">
        <v>294</v>
      </c>
      <c r="E2277" s="227">
        <v>43221</v>
      </c>
      <c r="F2277" s="156">
        <v>246221.14</v>
      </c>
      <c r="G2277" s="131">
        <f t="shared" si="157"/>
        <v>44122.828288000004</v>
      </c>
      <c r="H2277" s="156">
        <v>1886.31</v>
      </c>
      <c r="I2277" s="156">
        <v>0</v>
      </c>
      <c r="J2277" s="156">
        <v>0</v>
      </c>
      <c r="K2277" s="131">
        <f t="shared" si="158"/>
        <v>1886.31</v>
      </c>
      <c r="L2277" s="134">
        <v>0.1792</v>
      </c>
    </row>
    <row r="2278" spans="3:12">
      <c r="C2278" s="161">
        <f t="shared" si="156"/>
        <v>2018</v>
      </c>
      <c r="D2278" s="35" t="s">
        <v>294</v>
      </c>
      <c r="E2278" s="227">
        <v>43252</v>
      </c>
      <c r="F2278" s="156">
        <v>211970.42</v>
      </c>
      <c r="G2278" s="131">
        <f t="shared" si="157"/>
        <v>37985.099264000004</v>
      </c>
      <c r="H2278" s="156">
        <v>1177.19</v>
      </c>
      <c r="I2278" s="156">
        <v>0</v>
      </c>
      <c r="J2278" s="156">
        <v>0</v>
      </c>
      <c r="K2278" s="131">
        <f t="shared" si="158"/>
        <v>1177.19</v>
      </c>
      <c r="L2278" s="134">
        <v>0.1792</v>
      </c>
    </row>
    <row r="2279" spans="3:12">
      <c r="C2279" s="161">
        <f t="shared" si="156"/>
        <v>2018</v>
      </c>
      <c r="D2279" s="35" t="s">
        <v>294</v>
      </c>
      <c r="E2279" s="227">
        <v>43282</v>
      </c>
      <c r="F2279" s="156">
        <v>223106.81</v>
      </c>
      <c r="G2279" s="131">
        <f t="shared" si="157"/>
        <v>39980.740352000001</v>
      </c>
      <c r="H2279" s="156">
        <v>6845.11</v>
      </c>
      <c r="I2279" s="156">
        <v>0</v>
      </c>
      <c r="J2279" s="156">
        <v>0</v>
      </c>
      <c r="K2279" s="131">
        <f t="shared" si="158"/>
        <v>6845.11</v>
      </c>
      <c r="L2279" s="134">
        <v>0.1792</v>
      </c>
    </row>
    <row r="2280" spans="3:12">
      <c r="C2280" s="161">
        <f t="shared" si="156"/>
        <v>2018</v>
      </c>
      <c r="D2280" s="35" t="s">
        <v>294</v>
      </c>
      <c r="E2280" s="227">
        <v>43313</v>
      </c>
      <c r="F2280" s="156">
        <v>229871.61</v>
      </c>
      <c r="G2280" s="131">
        <f t="shared" si="157"/>
        <v>41192.992511999997</v>
      </c>
      <c r="H2280" s="156">
        <v>934.84</v>
      </c>
      <c r="I2280" s="156">
        <v>0</v>
      </c>
      <c r="J2280" s="156">
        <v>0</v>
      </c>
      <c r="K2280" s="131">
        <f t="shared" si="158"/>
        <v>934.84</v>
      </c>
      <c r="L2280" s="134">
        <v>0.1792</v>
      </c>
    </row>
    <row r="2281" spans="3:12">
      <c r="C2281" s="161">
        <f t="shared" si="156"/>
        <v>2018</v>
      </c>
      <c r="D2281" s="35" t="s">
        <v>294</v>
      </c>
      <c r="E2281" s="227">
        <v>43344</v>
      </c>
      <c r="F2281" s="156">
        <v>237305.37</v>
      </c>
      <c r="G2281" s="131">
        <f t="shared" si="157"/>
        <v>42525.122303999997</v>
      </c>
      <c r="H2281" s="156">
        <v>952.31</v>
      </c>
      <c r="I2281" s="156">
        <v>0</v>
      </c>
      <c r="J2281" s="156">
        <v>0</v>
      </c>
      <c r="K2281" s="131">
        <f t="shared" si="158"/>
        <v>952.31</v>
      </c>
      <c r="L2281" s="134">
        <v>0.1792</v>
      </c>
    </row>
    <row r="2282" spans="3:12">
      <c r="C2282" s="161">
        <f t="shared" si="156"/>
        <v>2018</v>
      </c>
      <c r="D2282" s="35" t="s">
        <v>294</v>
      </c>
      <c r="E2282" s="227">
        <v>43374</v>
      </c>
      <c r="F2282" s="156">
        <v>232443.54</v>
      </c>
      <c r="G2282" s="131">
        <f t="shared" si="157"/>
        <v>41653.882367999999</v>
      </c>
      <c r="H2282" s="156">
        <v>618.87</v>
      </c>
      <c r="I2282" s="156">
        <v>0</v>
      </c>
      <c r="J2282" s="156">
        <v>0</v>
      </c>
      <c r="K2282" s="131">
        <f t="shared" si="158"/>
        <v>618.87</v>
      </c>
      <c r="L2282" s="134">
        <v>0.1792</v>
      </c>
    </row>
    <row r="2283" spans="3:12">
      <c r="C2283" s="161">
        <f t="shared" si="156"/>
        <v>2018</v>
      </c>
      <c r="D2283" s="35" t="s">
        <v>294</v>
      </c>
      <c r="E2283" s="227">
        <v>43405</v>
      </c>
      <c r="F2283" s="156">
        <v>262974.07949999999</v>
      </c>
      <c r="G2283" s="131">
        <f t="shared" si="157"/>
        <v>47124.955046399999</v>
      </c>
      <c r="H2283" s="156">
        <v>2438.58</v>
      </c>
      <c r="I2283" s="156">
        <v>0</v>
      </c>
      <c r="J2283" s="156">
        <v>0</v>
      </c>
      <c r="K2283" s="131">
        <f t="shared" si="158"/>
        <v>2438.58</v>
      </c>
      <c r="L2283" s="134">
        <v>0.1792</v>
      </c>
    </row>
    <row r="2284" spans="3:12">
      <c r="C2284" s="161">
        <f t="shared" si="156"/>
        <v>2018</v>
      </c>
      <c r="D2284" s="35" t="s">
        <v>294</v>
      </c>
      <c r="E2284" s="227">
        <v>43435</v>
      </c>
      <c r="F2284" s="156">
        <v>273932.34000000003</v>
      </c>
      <c r="G2284" s="131">
        <f t="shared" si="157"/>
        <v>49088.675328000005</v>
      </c>
      <c r="H2284" s="156">
        <v>892.61</v>
      </c>
      <c r="I2284" s="156">
        <v>0</v>
      </c>
      <c r="J2284" s="156">
        <v>0</v>
      </c>
      <c r="K2284" s="131">
        <f t="shared" si="158"/>
        <v>892.61</v>
      </c>
      <c r="L2284" s="134">
        <v>0.1792</v>
      </c>
    </row>
    <row r="2285" spans="3:12">
      <c r="C2285" s="161">
        <f t="shared" si="156"/>
        <v>2019</v>
      </c>
      <c r="D2285" s="35" t="s">
        <v>294</v>
      </c>
      <c r="E2285" s="227">
        <v>43466</v>
      </c>
      <c r="F2285" s="156">
        <v>272494.76</v>
      </c>
      <c r="G2285" s="131">
        <f t="shared" si="157"/>
        <v>48831.060991999999</v>
      </c>
      <c r="H2285" s="156">
        <v>1648.3</v>
      </c>
      <c r="I2285" s="156">
        <v>0</v>
      </c>
      <c r="J2285" s="156">
        <v>0</v>
      </c>
      <c r="K2285" s="131">
        <f t="shared" si="158"/>
        <v>1648.3</v>
      </c>
      <c r="L2285" s="134">
        <v>0.1792</v>
      </c>
    </row>
    <row r="2286" spans="3:12">
      <c r="C2286" s="161">
        <f t="shared" si="156"/>
        <v>2019</v>
      </c>
      <c r="D2286" s="35" t="s">
        <v>294</v>
      </c>
      <c r="E2286" s="227">
        <v>43497</v>
      </c>
      <c r="F2286" s="156">
        <v>278498.05</v>
      </c>
      <c r="G2286" s="131">
        <f t="shared" si="157"/>
        <v>49906.850559999999</v>
      </c>
      <c r="H2286" s="156">
        <v>962.35</v>
      </c>
      <c r="I2286" s="156">
        <v>0</v>
      </c>
      <c r="J2286" s="156">
        <v>0</v>
      </c>
      <c r="K2286" s="131">
        <f t="shared" si="158"/>
        <v>962.35</v>
      </c>
      <c r="L2286" s="134">
        <v>0.1792</v>
      </c>
    </row>
    <row r="2287" spans="3:12">
      <c r="C2287" s="161">
        <f t="shared" si="156"/>
        <v>2019</v>
      </c>
      <c r="D2287" s="35" t="s">
        <v>294</v>
      </c>
      <c r="E2287" s="227">
        <v>43525</v>
      </c>
      <c r="F2287" s="156">
        <v>229866.91</v>
      </c>
      <c r="G2287" s="131">
        <f t="shared" si="157"/>
        <v>41192.150271999999</v>
      </c>
      <c r="H2287" s="156">
        <v>1058.73</v>
      </c>
      <c r="I2287" s="156">
        <v>0</v>
      </c>
      <c r="J2287" s="156">
        <v>0</v>
      </c>
      <c r="K2287" s="131">
        <f t="shared" si="158"/>
        <v>1058.73</v>
      </c>
      <c r="L2287" s="134">
        <v>0.1792</v>
      </c>
    </row>
    <row r="2288" spans="3:12">
      <c r="C2288" s="161">
        <f t="shared" si="156"/>
        <v>2019</v>
      </c>
      <c r="D2288" s="35" t="s">
        <v>294</v>
      </c>
      <c r="E2288" s="227">
        <v>43556</v>
      </c>
      <c r="F2288" s="156">
        <v>249969.46</v>
      </c>
      <c r="G2288" s="131">
        <f t="shared" si="157"/>
        <v>44794.527232</v>
      </c>
      <c r="H2288" s="156">
        <v>110559.71</v>
      </c>
      <c r="I2288" s="156">
        <v>0</v>
      </c>
      <c r="J2288" s="156">
        <v>0</v>
      </c>
      <c r="K2288" s="131">
        <f t="shared" si="158"/>
        <v>110559.71</v>
      </c>
      <c r="L2288" s="134">
        <v>0.1792</v>
      </c>
    </row>
    <row r="2289" spans="3:12">
      <c r="C2289" s="161">
        <f t="shared" si="156"/>
        <v>2019</v>
      </c>
      <c r="D2289" s="35" t="s">
        <v>294</v>
      </c>
      <c r="E2289" s="227">
        <v>43586</v>
      </c>
      <c r="F2289" s="156">
        <v>240723.29</v>
      </c>
      <c r="G2289" s="131">
        <f t="shared" si="157"/>
        <v>43137.613568000001</v>
      </c>
      <c r="H2289" s="156">
        <v>4475.3500000000004</v>
      </c>
      <c r="I2289" s="156">
        <v>0</v>
      </c>
      <c r="J2289" s="156">
        <v>0</v>
      </c>
      <c r="K2289" s="131">
        <f t="shared" si="158"/>
        <v>4475.3500000000004</v>
      </c>
      <c r="L2289" s="134">
        <v>0.1792</v>
      </c>
    </row>
    <row r="2290" spans="3:12">
      <c r="C2290" s="161">
        <f t="shared" si="156"/>
        <v>2019</v>
      </c>
      <c r="D2290" s="35" t="s">
        <v>294</v>
      </c>
      <c r="E2290" s="227">
        <v>43617</v>
      </c>
      <c r="F2290" s="156">
        <v>240804.5</v>
      </c>
      <c r="G2290" s="131">
        <f t="shared" si="157"/>
        <v>43152.166400000002</v>
      </c>
      <c r="H2290" s="156">
        <v>6472.58</v>
      </c>
      <c r="I2290" s="156">
        <v>0</v>
      </c>
      <c r="J2290" s="156">
        <v>0</v>
      </c>
      <c r="K2290" s="131">
        <f t="shared" si="158"/>
        <v>6472.58</v>
      </c>
      <c r="L2290" s="134">
        <v>0.1792</v>
      </c>
    </row>
    <row r="2291" spans="3:12">
      <c r="C2291" s="161">
        <f t="shared" si="156"/>
        <v>2019</v>
      </c>
      <c r="D2291" s="35" t="s">
        <v>294</v>
      </c>
      <c r="E2291" s="227">
        <v>43647</v>
      </c>
      <c r="F2291" s="156">
        <v>233741.39</v>
      </c>
      <c r="G2291" s="131">
        <f t="shared" si="157"/>
        <v>41886.457088000003</v>
      </c>
      <c r="H2291" s="156">
        <v>2024.93</v>
      </c>
      <c r="I2291" s="156">
        <v>0</v>
      </c>
      <c r="J2291" s="156">
        <v>3518.43</v>
      </c>
      <c r="K2291" s="131">
        <f t="shared" si="158"/>
        <v>5543.36</v>
      </c>
      <c r="L2291" s="134">
        <v>0.1792</v>
      </c>
    </row>
    <row r="2292" spans="3:12">
      <c r="C2292" s="161">
        <f t="shared" si="156"/>
        <v>2019</v>
      </c>
      <c r="D2292" s="35" t="s">
        <v>294</v>
      </c>
      <c r="E2292" s="227">
        <v>43678</v>
      </c>
      <c r="F2292" s="156">
        <v>265829.76000000001</v>
      </c>
      <c r="G2292" s="131">
        <f t="shared" si="157"/>
        <v>47636.692992000004</v>
      </c>
      <c r="H2292" s="156">
        <v>1479.5</v>
      </c>
      <c r="I2292" s="156">
        <v>0</v>
      </c>
      <c r="J2292" s="156">
        <v>0</v>
      </c>
      <c r="K2292" s="131">
        <f t="shared" si="158"/>
        <v>1479.5</v>
      </c>
      <c r="L2292" s="134">
        <v>0.1792</v>
      </c>
    </row>
    <row r="2293" spans="3:12">
      <c r="C2293" s="161">
        <f t="shared" si="156"/>
        <v>2019</v>
      </c>
      <c r="D2293" s="35" t="s">
        <v>294</v>
      </c>
      <c r="E2293" s="227">
        <v>43709</v>
      </c>
      <c r="F2293" s="156">
        <v>281116.67</v>
      </c>
      <c r="G2293" s="131">
        <f t="shared" si="157"/>
        <v>50376.107263999998</v>
      </c>
      <c r="H2293" s="156">
        <v>183.06</v>
      </c>
      <c r="I2293" s="156">
        <v>0</v>
      </c>
      <c r="J2293" s="156">
        <v>0</v>
      </c>
      <c r="K2293" s="131">
        <f t="shared" si="158"/>
        <v>183.06</v>
      </c>
      <c r="L2293" s="134">
        <v>0.1792</v>
      </c>
    </row>
    <row r="2294" spans="3:12">
      <c r="C2294" s="161">
        <f t="shared" si="156"/>
        <v>2019</v>
      </c>
      <c r="D2294" s="35" t="s">
        <v>294</v>
      </c>
      <c r="E2294" s="227">
        <v>43739</v>
      </c>
      <c r="F2294" s="156">
        <v>274728.21999999997</v>
      </c>
      <c r="G2294" s="131">
        <f t="shared" si="157"/>
        <v>49231.297023999992</v>
      </c>
      <c r="H2294" s="156">
        <v>968.37</v>
      </c>
      <c r="I2294" s="156">
        <v>0</v>
      </c>
      <c r="J2294" s="156">
        <v>0</v>
      </c>
      <c r="K2294" s="131">
        <f t="shared" si="158"/>
        <v>968.37</v>
      </c>
      <c r="L2294" s="134">
        <v>0.1792</v>
      </c>
    </row>
    <row r="2295" spans="3:12">
      <c r="C2295" s="161">
        <f t="shared" si="156"/>
        <v>2019</v>
      </c>
      <c r="D2295" s="35" t="s">
        <v>294</v>
      </c>
      <c r="E2295" s="227">
        <v>43770</v>
      </c>
      <c r="F2295" s="156">
        <v>299973.76000000001</v>
      </c>
      <c r="G2295" s="131">
        <f t="shared" si="157"/>
        <v>53755.297791999998</v>
      </c>
      <c r="H2295" s="156">
        <v>3170.74</v>
      </c>
      <c r="I2295" s="156">
        <v>0</v>
      </c>
      <c r="J2295" s="156">
        <v>0</v>
      </c>
      <c r="K2295" s="131">
        <f t="shared" si="158"/>
        <v>3170.74</v>
      </c>
      <c r="L2295" s="134">
        <v>0.1792</v>
      </c>
    </row>
    <row r="2296" spans="3:12">
      <c r="C2296" s="161">
        <f t="shared" si="156"/>
        <v>2019</v>
      </c>
      <c r="D2296" s="35" t="s">
        <v>294</v>
      </c>
      <c r="E2296" s="227">
        <v>43800</v>
      </c>
      <c r="F2296" s="156">
        <v>283316.5</v>
      </c>
      <c r="G2296" s="131">
        <f t="shared" si="157"/>
        <v>50770.316800000001</v>
      </c>
      <c r="H2296" s="156">
        <v>1576.52</v>
      </c>
      <c r="I2296" s="156">
        <v>0</v>
      </c>
      <c r="J2296" s="156">
        <v>0</v>
      </c>
      <c r="K2296" s="131">
        <f t="shared" si="158"/>
        <v>1576.52</v>
      </c>
      <c r="L2296" s="134">
        <v>0.1792</v>
      </c>
    </row>
    <row r="2297" spans="3:12">
      <c r="C2297" s="161">
        <f t="shared" si="156"/>
        <v>2020</v>
      </c>
      <c r="D2297" s="35" t="s">
        <v>294</v>
      </c>
      <c r="E2297" s="227">
        <v>43831</v>
      </c>
      <c r="F2297" s="156">
        <v>289138.62</v>
      </c>
      <c r="G2297" s="131">
        <f t="shared" si="157"/>
        <v>51813.640703999998</v>
      </c>
      <c r="H2297" s="156">
        <v>666.65</v>
      </c>
      <c r="I2297" s="156">
        <v>0</v>
      </c>
      <c r="J2297" s="156">
        <v>0</v>
      </c>
      <c r="K2297" s="131">
        <f t="shared" si="158"/>
        <v>666.65</v>
      </c>
      <c r="L2297" s="134">
        <v>0.1792</v>
      </c>
    </row>
    <row r="2298" spans="3:12">
      <c r="C2298" s="161">
        <f t="shared" si="156"/>
        <v>2020</v>
      </c>
      <c r="D2298" s="35" t="s">
        <v>294</v>
      </c>
      <c r="E2298" s="227">
        <v>43862</v>
      </c>
      <c r="F2298" s="156">
        <v>280418.05</v>
      </c>
      <c r="G2298" s="131">
        <f t="shared" si="157"/>
        <v>50250.914559999997</v>
      </c>
      <c r="H2298" s="156">
        <v>865.01</v>
      </c>
      <c r="I2298" s="156">
        <v>0</v>
      </c>
      <c r="J2298" s="156">
        <v>0</v>
      </c>
      <c r="K2298" s="131">
        <f t="shared" si="158"/>
        <v>865.01</v>
      </c>
      <c r="L2298" s="134">
        <v>0.1792</v>
      </c>
    </row>
    <row r="2299" spans="3:12">
      <c r="C2299" s="161">
        <f t="shared" si="156"/>
        <v>2020</v>
      </c>
      <c r="D2299" s="35" t="s">
        <v>294</v>
      </c>
      <c r="E2299" s="227">
        <v>43891</v>
      </c>
      <c r="F2299" s="156">
        <v>269700.56024999998</v>
      </c>
      <c r="G2299" s="131">
        <f t="shared" si="157"/>
        <v>48330.340396799998</v>
      </c>
      <c r="H2299" s="156">
        <v>1935.45</v>
      </c>
      <c r="I2299" s="156">
        <v>0</v>
      </c>
      <c r="J2299" s="156">
        <v>0</v>
      </c>
      <c r="K2299" s="131">
        <f t="shared" si="158"/>
        <v>1935.45</v>
      </c>
      <c r="L2299" s="134">
        <v>0.1792</v>
      </c>
    </row>
    <row r="2300" spans="3:12">
      <c r="C2300" s="161">
        <f t="shared" si="156"/>
        <v>2020</v>
      </c>
      <c r="D2300" s="35" t="s">
        <v>294</v>
      </c>
      <c r="E2300" s="227">
        <v>43922</v>
      </c>
      <c r="F2300" s="156">
        <v>299675.92957500002</v>
      </c>
      <c r="G2300" s="131">
        <f t="shared" si="157"/>
        <v>53701.926579840001</v>
      </c>
      <c r="H2300" s="156">
        <v>1740.42</v>
      </c>
      <c r="I2300" s="156">
        <v>0</v>
      </c>
      <c r="J2300" s="156">
        <v>0</v>
      </c>
      <c r="K2300" s="131">
        <f t="shared" si="158"/>
        <v>1740.42</v>
      </c>
      <c r="L2300" s="134">
        <v>0.1792</v>
      </c>
    </row>
    <row r="2301" spans="3:12">
      <c r="C2301" s="161">
        <f t="shared" si="156"/>
        <v>2020</v>
      </c>
      <c r="D2301" s="35" t="s">
        <v>294</v>
      </c>
      <c r="E2301" s="227">
        <v>43952</v>
      </c>
      <c r="F2301" s="156">
        <v>269202.52</v>
      </c>
      <c r="G2301" s="131">
        <f t="shared" si="157"/>
        <v>48241.091584000002</v>
      </c>
      <c r="H2301" s="156">
        <v>1482.67</v>
      </c>
      <c r="I2301" s="156">
        <v>0</v>
      </c>
      <c r="J2301" s="156">
        <v>0</v>
      </c>
      <c r="K2301" s="131">
        <f t="shared" si="158"/>
        <v>1482.67</v>
      </c>
      <c r="L2301" s="134">
        <v>0.1792</v>
      </c>
    </row>
    <row r="2302" spans="3:12">
      <c r="C2302" s="161">
        <f t="shared" si="156"/>
        <v>2020</v>
      </c>
      <c r="D2302" s="35" t="s">
        <v>294</v>
      </c>
      <c r="E2302" s="227">
        <v>43983</v>
      </c>
      <c r="F2302" s="156">
        <v>261877.79</v>
      </c>
      <c r="G2302" s="131">
        <f t="shared" si="157"/>
        <v>46928.499968000004</v>
      </c>
      <c r="H2302" s="156">
        <v>7795.02</v>
      </c>
      <c r="I2302" s="156">
        <v>0</v>
      </c>
      <c r="J2302" s="156">
        <v>0</v>
      </c>
      <c r="K2302" s="131">
        <f t="shared" si="158"/>
        <v>7795.02</v>
      </c>
      <c r="L2302" s="134">
        <v>0.1792</v>
      </c>
    </row>
    <row r="2303" spans="3:12">
      <c r="C2303" s="161">
        <f t="shared" si="156"/>
        <v>2020</v>
      </c>
      <c r="D2303" s="35" t="s">
        <v>294</v>
      </c>
      <c r="E2303" s="227">
        <v>44013</v>
      </c>
      <c r="F2303" s="156">
        <v>249950.6</v>
      </c>
      <c r="G2303" s="131">
        <f t="shared" si="157"/>
        <v>44791.147519999999</v>
      </c>
      <c r="H2303" s="156">
        <v>15001.06</v>
      </c>
      <c r="I2303" s="156">
        <v>0</v>
      </c>
      <c r="J2303" s="156">
        <v>0</v>
      </c>
      <c r="K2303" s="131">
        <f t="shared" si="158"/>
        <v>15001.06</v>
      </c>
      <c r="L2303" s="134">
        <v>0.1792</v>
      </c>
    </row>
    <row r="2304" spans="3:12">
      <c r="C2304" s="161">
        <f t="shared" si="156"/>
        <v>2020</v>
      </c>
      <c r="D2304" s="35" t="s">
        <v>294</v>
      </c>
      <c r="E2304" s="227">
        <v>44044</v>
      </c>
      <c r="F2304" s="156">
        <v>276476.58</v>
      </c>
      <c r="G2304" s="131">
        <f t="shared" si="157"/>
        <v>49544.603136000005</v>
      </c>
      <c r="H2304" s="156">
        <v>2577.33</v>
      </c>
      <c r="I2304" s="156">
        <v>0</v>
      </c>
      <c r="J2304" s="156">
        <v>0</v>
      </c>
      <c r="K2304" s="131">
        <f t="shared" si="158"/>
        <v>2577.33</v>
      </c>
      <c r="L2304" s="134">
        <v>0.1792</v>
      </c>
    </row>
    <row r="2305" spans="3:12">
      <c r="C2305" s="161">
        <f t="shared" si="156"/>
        <v>2020</v>
      </c>
      <c r="D2305" s="35" t="s">
        <v>294</v>
      </c>
      <c r="E2305" s="227">
        <v>44075</v>
      </c>
      <c r="F2305" s="156">
        <v>289132.09999999998</v>
      </c>
      <c r="G2305" s="131">
        <f t="shared" si="157"/>
        <v>51812.472319999993</v>
      </c>
      <c r="H2305" s="156">
        <v>3860.55</v>
      </c>
      <c r="I2305" s="156">
        <v>0</v>
      </c>
      <c r="J2305" s="156">
        <v>0</v>
      </c>
      <c r="K2305" s="131">
        <f t="shared" si="158"/>
        <v>3860.55</v>
      </c>
      <c r="L2305" s="134">
        <v>0.1792</v>
      </c>
    </row>
    <row r="2306" spans="3:12">
      <c r="C2306" s="161">
        <f t="shared" si="156"/>
        <v>2020</v>
      </c>
      <c r="D2306" s="35" t="s">
        <v>294</v>
      </c>
      <c r="E2306" s="227">
        <v>44105</v>
      </c>
      <c r="F2306" s="156">
        <v>325726.31</v>
      </c>
      <c r="G2306" s="131">
        <f t="shared" si="157"/>
        <v>58370.154752000002</v>
      </c>
      <c r="H2306" s="156">
        <v>1376.23</v>
      </c>
      <c r="I2306" s="156">
        <v>0</v>
      </c>
      <c r="J2306" s="156">
        <v>0</v>
      </c>
      <c r="K2306" s="131">
        <f t="shared" si="158"/>
        <v>1376.23</v>
      </c>
      <c r="L2306" s="134">
        <v>0.1792</v>
      </c>
    </row>
    <row r="2307" spans="3:12">
      <c r="C2307" s="161">
        <f t="shared" si="156"/>
        <v>2020</v>
      </c>
      <c r="D2307" s="35" t="s">
        <v>294</v>
      </c>
      <c r="E2307" s="227">
        <v>44136</v>
      </c>
      <c r="F2307" s="156">
        <v>304291.37</v>
      </c>
      <c r="G2307" s="131">
        <f t="shared" si="157"/>
        <v>54529.013503999995</v>
      </c>
      <c r="H2307" s="156">
        <v>1752.88</v>
      </c>
      <c r="I2307" s="156">
        <v>0</v>
      </c>
      <c r="J2307" s="156">
        <v>0</v>
      </c>
      <c r="K2307" s="131">
        <f t="shared" si="158"/>
        <v>1752.88</v>
      </c>
      <c r="L2307" s="134">
        <v>0.1792</v>
      </c>
    </row>
    <row r="2308" spans="3:12">
      <c r="C2308" s="161">
        <f t="shared" ref="C2308:C2371" si="159">YEAR(E2308)</f>
        <v>2020</v>
      </c>
      <c r="D2308" s="35" t="s">
        <v>294</v>
      </c>
      <c r="E2308" s="227">
        <v>44166</v>
      </c>
      <c r="F2308" s="156">
        <v>301219.3</v>
      </c>
      <c r="G2308" s="131">
        <f t="shared" ref="G2308:G2371" si="160">F2308*L2308</f>
        <v>53978.49856</v>
      </c>
      <c r="H2308" s="156">
        <v>123121.5</v>
      </c>
      <c r="I2308" s="156">
        <v>0</v>
      </c>
      <c r="J2308" s="156">
        <v>0</v>
      </c>
      <c r="K2308" s="131">
        <f t="shared" ref="K2308:K2371" si="161">SUM(H2308:J2308)</f>
        <v>123121.5</v>
      </c>
      <c r="L2308" s="134">
        <v>0.1792</v>
      </c>
    </row>
    <row r="2309" spans="3:12">
      <c r="C2309" s="161">
        <f t="shared" si="159"/>
        <v>2021</v>
      </c>
      <c r="D2309" s="35" t="s">
        <v>294</v>
      </c>
      <c r="E2309" s="227">
        <v>44197</v>
      </c>
      <c r="F2309" s="156">
        <v>302172.90999999997</v>
      </c>
      <c r="G2309" s="131">
        <f t="shared" si="160"/>
        <v>54149.385471999994</v>
      </c>
      <c r="H2309" s="156">
        <v>833.37</v>
      </c>
      <c r="I2309" s="156">
        <v>0</v>
      </c>
      <c r="J2309" s="156">
        <v>0</v>
      </c>
      <c r="K2309" s="131">
        <f t="shared" si="161"/>
        <v>833.37</v>
      </c>
      <c r="L2309" s="134">
        <v>0.1792</v>
      </c>
    </row>
    <row r="2310" spans="3:12">
      <c r="C2310" s="161">
        <f t="shared" si="159"/>
        <v>2021</v>
      </c>
      <c r="D2310" s="35" t="s">
        <v>294</v>
      </c>
      <c r="E2310" s="227">
        <v>44229</v>
      </c>
      <c r="F2310" s="156">
        <v>292088.39</v>
      </c>
      <c r="G2310" s="131">
        <f t="shared" si="160"/>
        <v>52342.239487999999</v>
      </c>
      <c r="H2310" s="156">
        <v>512.59</v>
      </c>
      <c r="I2310" s="156">
        <v>0</v>
      </c>
      <c r="J2310" s="156">
        <v>0</v>
      </c>
      <c r="K2310" s="131">
        <f t="shared" si="161"/>
        <v>512.59</v>
      </c>
      <c r="L2310" s="134">
        <v>0.1792</v>
      </c>
    </row>
    <row r="2311" spans="3:12">
      <c r="C2311" s="161">
        <f t="shared" si="159"/>
        <v>2021</v>
      </c>
      <c r="D2311" s="35" t="s">
        <v>294</v>
      </c>
      <c r="E2311" s="227">
        <v>44258</v>
      </c>
      <c r="F2311" s="156">
        <v>299770.76</v>
      </c>
      <c r="G2311" s="131">
        <f t="shared" si="160"/>
        <v>53718.920191999998</v>
      </c>
      <c r="H2311" s="156">
        <v>1398.93</v>
      </c>
      <c r="I2311" s="156">
        <v>0</v>
      </c>
      <c r="J2311" s="156">
        <v>0</v>
      </c>
      <c r="K2311" s="131">
        <f t="shared" si="161"/>
        <v>1398.93</v>
      </c>
      <c r="L2311" s="134">
        <v>0.1792</v>
      </c>
    </row>
    <row r="2312" spans="3:12">
      <c r="C2312" s="161">
        <f t="shared" si="159"/>
        <v>2021</v>
      </c>
      <c r="D2312" s="35" t="s">
        <v>294</v>
      </c>
      <c r="E2312" s="227">
        <v>44290</v>
      </c>
      <c r="F2312" s="156">
        <v>295593.38</v>
      </c>
      <c r="G2312" s="131">
        <f t="shared" si="160"/>
        <v>52970.333696000002</v>
      </c>
      <c r="H2312" s="156">
        <v>55640.59</v>
      </c>
      <c r="I2312" s="156">
        <v>0</v>
      </c>
      <c r="J2312" s="156">
        <v>0</v>
      </c>
      <c r="K2312" s="131">
        <f t="shared" si="161"/>
        <v>55640.59</v>
      </c>
      <c r="L2312" s="134">
        <v>0.1792</v>
      </c>
    </row>
    <row r="2313" spans="3:12">
      <c r="C2313" s="161">
        <f t="shared" si="159"/>
        <v>2021</v>
      </c>
      <c r="D2313" s="35" t="s">
        <v>294</v>
      </c>
      <c r="E2313" s="227">
        <v>44321</v>
      </c>
      <c r="F2313" s="156">
        <v>267347.40999999997</v>
      </c>
      <c r="G2313" s="131">
        <f t="shared" si="160"/>
        <v>47908.655871999996</v>
      </c>
      <c r="H2313" s="156">
        <v>5310.51</v>
      </c>
      <c r="I2313" s="156">
        <v>0</v>
      </c>
      <c r="J2313" s="156">
        <v>0</v>
      </c>
      <c r="K2313" s="131">
        <f t="shared" si="161"/>
        <v>5310.51</v>
      </c>
      <c r="L2313" s="134">
        <v>0.1792</v>
      </c>
    </row>
    <row r="2314" spans="3:12">
      <c r="C2314" s="161">
        <f t="shared" si="159"/>
        <v>2021</v>
      </c>
      <c r="D2314" s="35" t="s">
        <v>294</v>
      </c>
      <c r="E2314" s="227">
        <v>44353</v>
      </c>
      <c r="F2314" s="156">
        <v>266150.86</v>
      </c>
      <c r="G2314" s="131">
        <f t="shared" si="160"/>
        <v>47694.234111999998</v>
      </c>
      <c r="H2314" s="156">
        <v>3038.43</v>
      </c>
      <c r="I2314" s="156">
        <v>0</v>
      </c>
      <c r="J2314" s="156">
        <v>0</v>
      </c>
      <c r="K2314" s="131">
        <f t="shared" si="161"/>
        <v>3038.43</v>
      </c>
      <c r="L2314" s="134">
        <v>0.1792</v>
      </c>
    </row>
    <row r="2315" spans="3:12">
      <c r="C2315" s="161">
        <f t="shared" si="159"/>
        <v>2015</v>
      </c>
      <c r="D2315" s="35" t="s">
        <v>295</v>
      </c>
      <c r="E2315" s="227">
        <v>42309</v>
      </c>
      <c r="F2315" s="156">
        <v>479082.84</v>
      </c>
      <c r="G2315" s="131">
        <f t="shared" si="160"/>
        <v>85851.644928000009</v>
      </c>
      <c r="H2315" s="156">
        <v>91162.26</v>
      </c>
      <c r="I2315" s="156">
        <v>0</v>
      </c>
      <c r="J2315" s="156">
        <v>0</v>
      </c>
      <c r="K2315" s="131">
        <f t="shared" si="161"/>
        <v>91162.26</v>
      </c>
      <c r="L2315" s="134">
        <v>0.1792</v>
      </c>
    </row>
    <row r="2316" spans="3:12">
      <c r="C2316" s="161">
        <f t="shared" si="159"/>
        <v>2015</v>
      </c>
      <c r="D2316" s="35" t="s">
        <v>295</v>
      </c>
      <c r="E2316" s="227">
        <v>42339</v>
      </c>
      <c r="F2316" s="156">
        <v>460640.87</v>
      </c>
      <c r="G2316" s="131">
        <f t="shared" si="160"/>
        <v>82546.843903999994</v>
      </c>
      <c r="H2316" s="156">
        <v>5894.37</v>
      </c>
      <c r="I2316" s="156">
        <v>0</v>
      </c>
      <c r="J2316" s="156">
        <v>0</v>
      </c>
      <c r="K2316" s="131">
        <f t="shared" si="161"/>
        <v>5894.37</v>
      </c>
      <c r="L2316" s="134">
        <v>0.1792</v>
      </c>
    </row>
    <row r="2317" spans="3:12">
      <c r="C2317" s="161">
        <f t="shared" si="159"/>
        <v>2016</v>
      </c>
      <c r="D2317" s="35" t="s">
        <v>295</v>
      </c>
      <c r="E2317" s="227">
        <v>42370</v>
      </c>
      <c r="F2317" s="156">
        <v>477819.78</v>
      </c>
      <c r="G2317" s="131">
        <f t="shared" si="160"/>
        <v>85625.30457600001</v>
      </c>
      <c r="H2317" s="156">
        <v>1556.46</v>
      </c>
      <c r="I2317" s="156">
        <v>0</v>
      </c>
      <c r="J2317" s="156">
        <v>0</v>
      </c>
      <c r="K2317" s="131">
        <f t="shared" si="161"/>
        <v>1556.46</v>
      </c>
      <c r="L2317" s="134">
        <v>0.1792</v>
      </c>
    </row>
    <row r="2318" spans="3:12">
      <c r="C2318" s="161">
        <f t="shared" si="159"/>
        <v>2016</v>
      </c>
      <c r="D2318" s="35" t="s">
        <v>295</v>
      </c>
      <c r="E2318" s="227">
        <v>42401</v>
      </c>
      <c r="F2318" s="156">
        <v>481044.25</v>
      </c>
      <c r="G2318" s="131">
        <f t="shared" si="160"/>
        <v>86203.1296</v>
      </c>
      <c r="H2318" s="156">
        <v>5083.8999999999996</v>
      </c>
      <c r="I2318" s="156">
        <v>194914.24</v>
      </c>
      <c r="J2318" s="156">
        <v>0</v>
      </c>
      <c r="K2318" s="131">
        <f t="shared" si="161"/>
        <v>199998.13999999998</v>
      </c>
      <c r="L2318" s="134">
        <v>0.1792</v>
      </c>
    </row>
    <row r="2319" spans="3:12">
      <c r="C2319" s="161">
        <f t="shared" si="159"/>
        <v>2016</v>
      </c>
      <c r="D2319" s="35" t="s">
        <v>295</v>
      </c>
      <c r="E2319" s="227">
        <v>42430</v>
      </c>
      <c r="F2319" s="156">
        <v>443579.89</v>
      </c>
      <c r="G2319" s="131">
        <f t="shared" si="160"/>
        <v>79489.516287999999</v>
      </c>
      <c r="H2319" s="156">
        <v>591806.65</v>
      </c>
      <c r="I2319" s="156">
        <v>0.04</v>
      </c>
      <c r="J2319" s="156">
        <v>0</v>
      </c>
      <c r="K2319" s="131">
        <f t="shared" si="161"/>
        <v>591806.69000000006</v>
      </c>
      <c r="L2319" s="134">
        <v>0.1792</v>
      </c>
    </row>
    <row r="2320" spans="3:12">
      <c r="C2320" s="161">
        <f t="shared" si="159"/>
        <v>2016</v>
      </c>
      <c r="D2320" s="35" t="s">
        <v>295</v>
      </c>
      <c r="E2320" s="227">
        <v>42461</v>
      </c>
      <c r="F2320" s="156">
        <v>516500.24</v>
      </c>
      <c r="G2320" s="131">
        <f t="shared" si="160"/>
        <v>92556.843007999996</v>
      </c>
      <c r="H2320" s="156">
        <v>3490.21</v>
      </c>
      <c r="I2320" s="156">
        <v>0</v>
      </c>
      <c r="J2320" s="156">
        <v>0</v>
      </c>
      <c r="K2320" s="131">
        <f t="shared" si="161"/>
        <v>3490.21</v>
      </c>
      <c r="L2320" s="134">
        <v>0.1792</v>
      </c>
    </row>
    <row r="2321" spans="3:12">
      <c r="C2321" s="161">
        <f t="shared" si="159"/>
        <v>2016</v>
      </c>
      <c r="D2321" s="35" t="s">
        <v>295</v>
      </c>
      <c r="E2321" s="227">
        <v>42491</v>
      </c>
      <c r="F2321" s="156">
        <v>486660.42</v>
      </c>
      <c r="G2321" s="131">
        <f t="shared" si="160"/>
        <v>87209.547263999993</v>
      </c>
      <c r="H2321" s="156">
        <v>7650.31</v>
      </c>
      <c r="I2321" s="156">
        <v>0</v>
      </c>
      <c r="J2321" s="156">
        <v>0</v>
      </c>
      <c r="K2321" s="131">
        <f t="shared" si="161"/>
        <v>7650.31</v>
      </c>
      <c r="L2321" s="134">
        <v>0.1792</v>
      </c>
    </row>
    <row r="2322" spans="3:12">
      <c r="C2322" s="161">
        <f t="shared" si="159"/>
        <v>2016</v>
      </c>
      <c r="D2322" s="35" t="s">
        <v>295</v>
      </c>
      <c r="E2322" s="227">
        <v>42522</v>
      </c>
      <c r="F2322" s="156">
        <v>438873.17</v>
      </c>
      <c r="G2322" s="131">
        <f t="shared" si="160"/>
        <v>78646.072063999993</v>
      </c>
      <c r="H2322" s="156">
        <v>3267.06</v>
      </c>
      <c r="I2322" s="156">
        <v>0</v>
      </c>
      <c r="J2322" s="156">
        <v>13689.06</v>
      </c>
      <c r="K2322" s="131">
        <f t="shared" si="161"/>
        <v>16956.12</v>
      </c>
      <c r="L2322" s="134">
        <v>0.1792</v>
      </c>
    </row>
    <row r="2323" spans="3:12">
      <c r="C2323" s="161">
        <f t="shared" si="159"/>
        <v>2016</v>
      </c>
      <c r="D2323" s="35" t="s">
        <v>295</v>
      </c>
      <c r="E2323" s="227">
        <v>42552</v>
      </c>
      <c r="F2323" s="156">
        <v>498972.51</v>
      </c>
      <c r="G2323" s="131">
        <f t="shared" si="160"/>
        <v>89415.873791999999</v>
      </c>
      <c r="H2323" s="156">
        <v>9958.01</v>
      </c>
      <c r="I2323" s="156">
        <v>0</v>
      </c>
      <c r="J2323" s="156">
        <v>0</v>
      </c>
      <c r="K2323" s="131">
        <f t="shared" si="161"/>
        <v>9958.01</v>
      </c>
      <c r="L2323" s="134">
        <v>0.1792</v>
      </c>
    </row>
    <row r="2324" spans="3:12">
      <c r="C2324" s="161">
        <f t="shared" si="159"/>
        <v>2016</v>
      </c>
      <c r="D2324" s="35" t="s">
        <v>295</v>
      </c>
      <c r="E2324" s="227">
        <v>42583</v>
      </c>
      <c r="F2324" s="156">
        <v>514711.4</v>
      </c>
      <c r="G2324" s="131">
        <f t="shared" si="160"/>
        <v>92236.282879999999</v>
      </c>
      <c r="H2324" s="156">
        <v>4280.67</v>
      </c>
      <c r="I2324" s="156">
        <v>0</v>
      </c>
      <c r="J2324" s="156">
        <v>2037</v>
      </c>
      <c r="K2324" s="131">
        <f t="shared" si="161"/>
        <v>6317.67</v>
      </c>
      <c r="L2324" s="134">
        <v>0.1792</v>
      </c>
    </row>
    <row r="2325" spans="3:12">
      <c r="C2325" s="161">
        <f t="shared" si="159"/>
        <v>2016</v>
      </c>
      <c r="D2325" s="35" t="s">
        <v>295</v>
      </c>
      <c r="E2325" s="227">
        <v>42614</v>
      </c>
      <c r="F2325" s="156">
        <v>500802.19</v>
      </c>
      <c r="G2325" s="131">
        <f t="shared" si="160"/>
        <v>89743.752447999999</v>
      </c>
      <c r="H2325" s="156">
        <v>67002.63</v>
      </c>
      <c r="I2325" s="156">
        <v>0</v>
      </c>
      <c r="J2325" s="156">
        <v>0</v>
      </c>
      <c r="K2325" s="131">
        <f t="shared" si="161"/>
        <v>67002.63</v>
      </c>
      <c r="L2325" s="134">
        <v>0.1792</v>
      </c>
    </row>
    <row r="2326" spans="3:12">
      <c r="C2326" s="161">
        <f t="shared" si="159"/>
        <v>2016</v>
      </c>
      <c r="D2326" s="35" t="s">
        <v>295</v>
      </c>
      <c r="E2326" s="227">
        <v>42644</v>
      </c>
      <c r="F2326" s="156">
        <v>538309.22</v>
      </c>
      <c r="G2326" s="131">
        <f t="shared" si="160"/>
        <v>96465.012223999991</v>
      </c>
      <c r="H2326" s="156">
        <v>189957.73</v>
      </c>
      <c r="I2326" s="156">
        <v>0</v>
      </c>
      <c r="J2326" s="156">
        <v>2018.33</v>
      </c>
      <c r="K2326" s="131">
        <f t="shared" si="161"/>
        <v>191976.06</v>
      </c>
      <c r="L2326" s="134">
        <v>0.1792</v>
      </c>
    </row>
    <row r="2327" spans="3:12">
      <c r="C2327" s="161">
        <f t="shared" si="159"/>
        <v>2016</v>
      </c>
      <c r="D2327" s="35" t="s">
        <v>295</v>
      </c>
      <c r="E2327" s="227">
        <v>42675</v>
      </c>
      <c r="F2327" s="156">
        <v>585572.12</v>
      </c>
      <c r="G2327" s="131">
        <f t="shared" si="160"/>
        <v>104934.523904</v>
      </c>
      <c r="H2327" s="156">
        <v>2778.51</v>
      </c>
      <c r="I2327" s="156">
        <v>0</v>
      </c>
      <c r="J2327" s="156">
        <v>0</v>
      </c>
      <c r="K2327" s="131">
        <f t="shared" si="161"/>
        <v>2778.51</v>
      </c>
      <c r="L2327" s="134">
        <v>0.1792</v>
      </c>
    </row>
    <row r="2328" spans="3:12">
      <c r="C2328" s="161">
        <f t="shared" si="159"/>
        <v>2016</v>
      </c>
      <c r="D2328" s="35" t="s">
        <v>295</v>
      </c>
      <c r="E2328" s="227">
        <v>42705</v>
      </c>
      <c r="F2328" s="156">
        <v>556223.39</v>
      </c>
      <c r="G2328" s="131">
        <f t="shared" si="160"/>
        <v>99675.231488000005</v>
      </c>
      <c r="H2328" s="156">
        <v>2522.94</v>
      </c>
      <c r="I2328" s="156">
        <v>0</v>
      </c>
      <c r="J2328" s="156">
        <v>184.2</v>
      </c>
      <c r="K2328" s="131">
        <f t="shared" si="161"/>
        <v>2707.14</v>
      </c>
      <c r="L2328" s="134">
        <v>0.1792</v>
      </c>
    </row>
    <row r="2329" spans="3:12">
      <c r="C2329" s="161">
        <f t="shared" si="159"/>
        <v>2017</v>
      </c>
      <c r="D2329" s="35" t="s">
        <v>295</v>
      </c>
      <c r="E2329" s="227">
        <v>42736</v>
      </c>
      <c r="F2329" s="156">
        <v>576197.97</v>
      </c>
      <c r="G2329" s="131">
        <f t="shared" si="160"/>
        <v>103254.676224</v>
      </c>
      <c r="H2329" s="156">
        <v>19467.78</v>
      </c>
      <c r="I2329" s="156">
        <v>0</v>
      </c>
      <c r="J2329" s="156">
        <v>7760.86</v>
      </c>
      <c r="K2329" s="131">
        <f t="shared" si="161"/>
        <v>27228.639999999999</v>
      </c>
      <c r="L2329" s="134">
        <v>0.1792</v>
      </c>
    </row>
    <row r="2330" spans="3:12">
      <c r="C2330" s="161">
        <f t="shared" si="159"/>
        <v>2017</v>
      </c>
      <c r="D2330" s="35" t="s">
        <v>295</v>
      </c>
      <c r="E2330" s="227">
        <v>42767</v>
      </c>
      <c r="F2330" s="156">
        <v>562132.66</v>
      </c>
      <c r="G2330" s="131">
        <f t="shared" si="160"/>
        <v>100734.172672</v>
      </c>
      <c r="H2330" s="156">
        <v>1770.2</v>
      </c>
      <c r="I2330" s="156">
        <v>0</v>
      </c>
      <c r="J2330" s="156">
        <v>1400</v>
      </c>
      <c r="K2330" s="131">
        <f t="shared" si="161"/>
        <v>3170.2</v>
      </c>
      <c r="L2330" s="134">
        <v>0.1792</v>
      </c>
    </row>
    <row r="2331" spans="3:12">
      <c r="C2331" s="161">
        <f t="shared" si="159"/>
        <v>2017</v>
      </c>
      <c r="D2331" s="35" t="s">
        <v>295</v>
      </c>
      <c r="E2331" s="227">
        <v>42795</v>
      </c>
      <c r="F2331" s="156">
        <v>541773.12</v>
      </c>
      <c r="G2331" s="131">
        <f t="shared" si="160"/>
        <v>97085.743103999994</v>
      </c>
      <c r="H2331" s="156">
        <v>7757.7</v>
      </c>
      <c r="I2331" s="156">
        <v>0</v>
      </c>
      <c r="J2331" s="156">
        <v>559</v>
      </c>
      <c r="K2331" s="131">
        <f t="shared" si="161"/>
        <v>8316.7000000000007</v>
      </c>
      <c r="L2331" s="134">
        <v>0.1792</v>
      </c>
    </row>
    <row r="2332" spans="3:12">
      <c r="C2332" s="161">
        <f t="shared" si="159"/>
        <v>2017</v>
      </c>
      <c r="D2332" s="35" t="s">
        <v>295</v>
      </c>
      <c r="E2332" s="227">
        <v>42826</v>
      </c>
      <c r="F2332" s="156">
        <v>523968.27</v>
      </c>
      <c r="G2332" s="131">
        <f t="shared" si="160"/>
        <v>93895.113983999996</v>
      </c>
      <c r="H2332" s="156">
        <v>2361.65</v>
      </c>
      <c r="I2332" s="156">
        <v>0</v>
      </c>
      <c r="J2332" s="156">
        <v>0</v>
      </c>
      <c r="K2332" s="131">
        <f t="shared" si="161"/>
        <v>2361.65</v>
      </c>
      <c r="L2332" s="134">
        <v>0.1792</v>
      </c>
    </row>
    <row r="2333" spans="3:12">
      <c r="C2333" s="161">
        <f t="shared" si="159"/>
        <v>2017</v>
      </c>
      <c r="D2333" s="35" t="s">
        <v>295</v>
      </c>
      <c r="E2333" s="227">
        <v>42856</v>
      </c>
      <c r="F2333" s="156">
        <v>489369.98</v>
      </c>
      <c r="G2333" s="131">
        <f t="shared" si="160"/>
        <v>87695.100416000001</v>
      </c>
      <c r="H2333" s="156">
        <v>9284.5300000000007</v>
      </c>
      <c r="I2333" s="156">
        <v>0</v>
      </c>
      <c r="J2333" s="156">
        <v>0</v>
      </c>
      <c r="K2333" s="131">
        <f t="shared" si="161"/>
        <v>9284.5300000000007</v>
      </c>
      <c r="L2333" s="134">
        <v>0.1792</v>
      </c>
    </row>
    <row r="2334" spans="3:12">
      <c r="C2334" s="161">
        <f t="shared" si="159"/>
        <v>2017</v>
      </c>
      <c r="D2334" s="35" t="s">
        <v>295</v>
      </c>
      <c r="E2334" s="227">
        <v>42887</v>
      </c>
      <c r="F2334" s="156">
        <v>493591.33</v>
      </c>
      <c r="G2334" s="131">
        <f t="shared" si="160"/>
        <v>88451.566336000004</v>
      </c>
      <c r="H2334" s="156">
        <v>77940.42</v>
      </c>
      <c r="I2334" s="156">
        <v>0</v>
      </c>
      <c r="J2334" s="156">
        <v>0</v>
      </c>
      <c r="K2334" s="131">
        <f t="shared" si="161"/>
        <v>77940.42</v>
      </c>
      <c r="L2334" s="134">
        <v>0.1792</v>
      </c>
    </row>
    <row r="2335" spans="3:12">
      <c r="C2335" s="161">
        <f t="shared" si="159"/>
        <v>2017</v>
      </c>
      <c r="D2335" s="35" t="s">
        <v>295</v>
      </c>
      <c r="E2335" s="227">
        <v>42917</v>
      </c>
      <c r="F2335" s="156">
        <v>519305.89</v>
      </c>
      <c r="G2335" s="131">
        <f t="shared" si="160"/>
        <v>93059.615487999996</v>
      </c>
      <c r="H2335" s="156">
        <v>4122.76</v>
      </c>
      <c r="I2335" s="156">
        <v>0</v>
      </c>
      <c r="J2335" s="156">
        <v>0</v>
      </c>
      <c r="K2335" s="131">
        <f t="shared" si="161"/>
        <v>4122.76</v>
      </c>
      <c r="L2335" s="134">
        <v>0.1792</v>
      </c>
    </row>
    <row r="2336" spans="3:12">
      <c r="C2336" s="161">
        <f t="shared" si="159"/>
        <v>2017</v>
      </c>
      <c r="D2336" s="35" t="s">
        <v>295</v>
      </c>
      <c r="E2336" s="227">
        <v>42948</v>
      </c>
      <c r="F2336" s="156">
        <v>566912.93999999994</v>
      </c>
      <c r="G2336" s="131">
        <f t="shared" si="160"/>
        <v>101590.79884799999</v>
      </c>
      <c r="H2336" s="156">
        <v>4429.6099999999997</v>
      </c>
      <c r="I2336" s="156">
        <v>23298.28</v>
      </c>
      <c r="J2336" s="156">
        <v>0</v>
      </c>
      <c r="K2336" s="131">
        <f t="shared" si="161"/>
        <v>27727.89</v>
      </c>
      <c r="L2336" s="134">
        <v>0.1792</v>
      </c>
    </row>
    <row r="2337" spans="3:12">
      <c r="C2337" s="161">
        <f t="shared" si="159"/>
        <v>2017</v>
      </c>
      <c r="D2337" s="35" t="s">
        <v>295</v>
      </c>
      <c r="E2337" s="227">
        <v>42979</v>
      </c>
      <c r="F2337" s="156">
        <v>599224.81000000006</v>
      </c>
      <c r="G2337" s="131">
        <f t="shared" si="160"/>
        <v>107381.08595200001</v>
      </c>
      <c r="H2337" s="156">
        <v>177741.08</v>
      </c>
      <c r="I2337" s="156">
        <v>0</v>
      </c>
      <c r="J2337" s="156">
        <v>0</v>
      </c>
      <c r="K2337" s="131">
        <f t="shared" si="161"/>
        <v>177741.08</v>
      </c>
      <c r="L2337" s="134">
        <v>0.1792</v>
      </c>
    </row>
    <row r="2338" spans="3:12">
      <c r="C2338" s="161">
        <f t="shared" si="159"/>
        <v>2017</v>
      </c>
      <c r="D2338" s="35" t="s">
        <v>295</v>
      </c>
      <c r="E2338" s="227">
        <v>43009</v>
      </c>
      <c r="F2338" s="156">
        <v>581794.77</v>
      </c>
      <c r="G2338" s="131">
        <f t="shared" si="160"/>
        <v>104257.62278400001</v>
      </c>
      <c r="H2338" s="156">
        <v>190668.17</v>
      </c>
      <c r="I2338" s="156">
        <v>0</v>
      </c>
      <c r="J2338" s="156">
        <v>0</v>
      </c>
      <c r="K2338" s="131">
        <f t="shared" si="161"/>
        <v>190668.17</v>
      </c>
      <c r="L2338" s="134">
        <v>0.1792</v>
      </c>
    </row>
    <row r="2339" spans="3:12">
      <c r="C2339" s="161">
        <f t="shared" si="159"/>
        <v>2017</v>
      </c>
      <c r="D2339" s="35" t="s">
        <v>295</v>
      </c>
      <c r="E2339" s="227">
        <v>43040</v>
      </c>
      <c r="F2339" s="156">
        <v>580981</v>
      </c>
      <c r="G2339" s="131">
        <f t="shared" si="160"/>
        <v>104111.79519999999</v>
      </c>
      <c r="H2339" s="156">
        <v>64029.33</v>
      </c>
      <c r="I2339" s="156">
        <v>0</v>
      </c>
      <c r="J2339" s="156">
        <v>138500</v>
      </c>
      <c r="K2339" s="131">
        <f t="shared" si="161"/>
        <v>202529.33000000002</v>
      </c>
      <c r="L2339" s="134">
        <v>0.1792</v>
      </c>
    </row>
    <row r="2340" spans="3:12">
      <c r="C2340" s="161">
        <f t="shared" si="159"/>
        <v>2017</v>
      </c>
      <c r="D2340" s="35" t="s">
        <v>295</v>
      </c>
      <c r="E2340" s="227">
        <v>43070</v>
      </c>
      <c r="F2340" s="156">
        <v>575041.55000000005</v>
      </c>
      <c r="G2340" s="131">
        <f t="shared" si="160"/>
        <v>103047.44576</v>
      </c>
      <c r="H2340" s="156">
        <v>2733.13</v>
      </c>
      <c r="I2340" s="156">
        <v>0</v>
      </c>
      <c r="J2340" s="156">
        <v>16000</v>
      </c>
      <c r="K2340" s="131">
        <f t="shared" si="161"/>
        <v>18733.13</v>
      </c>
      <c r="L2340" s="134">
        <v>0.1792</v>
      </c>
    </row>
    <row r="2341" spans="3:12">
      <c r="C2341" s="161">
        <f t="shared" si="159"/>
        <v>2018</v>
      </c>
      <c r="D2341" s="35" t="s">
        <v>295</v>
      </c>
      <c r="E2341" s="227">
        <v>43101</v>
      </c>
      <c r="F2341" s="156">
        <v>575990.6</v>
      </c>
      <c r="G2341" s="131">
        <f t="shared" si="160"/>
        <v>103217.51552</v>
      </c>
      <c r="H2341" s="156">
        <v>11230.04</v>
      </c>
      <c r="I2341" s="156">
        <v>0</v>
      </c>
      <c r="J2341" s="156">
        <v>0</v>
      </c>
      <c r="K2341" s="131">
        <f t="shared" si="161"/>
        <v>11230.04</v>
      </c>
      <c r="L2341" s="134">
        <v>0.1792</v>
      </c>
    </row>
    <row r="2342" spans="3:12">
      <c r="C2342" s="161">
        <f t="shared" si="159"/>
        <v>2018</v>
      </c>
      <c r="D2342" s="35" t="s">
        <v>295</v>
      </c>
      <c r="E2342" s="227">
        <v>43132</v>
      </c>
      <c r="F2342" s="156">
        <v>589853.19999999995</v>
      </c>
      <c r="G2342" s="131">
        <f t="shared" si="160"/>
        <v>105701.69343999999</v>
      </c>
      <c r="H2342" s="156">
        <v>19867.97</v>
      </c>
      <c r="I2342" s="156">
        <v>0</v>
      </c>
      <c r="J2342" s="156">
        <v>0</v>
      </c>
      <c r="K2342" s="131">
        <f t="shared" si="161"/>
        <v>19867.97</v>
      </c>
      <c r="L2342" s="134">
        <v>0.1792</v>
      </c>
    </row>
    <row r="2343" spans="3:12">
      <c r="C2343" s="161">
        <f t="shared" si="159"/>
        <v>2018</v>
      </c>
      <c r="D2343" s="35" t="s">
        <v>295</v>
      </c>
      <c r="E2343" s="227">
        <v>43160</v>
      </c>
      <c r="F2343" s="156">
        <v>532797.52</v>
      </c>
      <c r="G2343" s="131">
        <f t="shared" si="160"/>
        <v>95477.315583999996</v>
      </c>
      <c r="H2343" s="156">
        <v>22368.58</v>
      </c>
      <c r="I2343" s="156">
        <v>0.01</v>
      </c>
      <c r="J2343" s="156">
        <v>0</v>
      </c>
      <c r="K2343" s="131">
        <f t="shared" si="161"/>
        <v>22368.59</v>
      </c>
      <c r="L2343" s="134">
        <v>0.1792</v>
      </c>
    </row>
    <row r="2344" spans="3:12">
      <c r="C2344" s="161">
        <f t="shared" si="159"/>
        <v>2018</v>
      </c>
      <c r="D2344" s="35" t="s">
        <v>295</v>
      </c>
      <c r="E2344" s="227">
        <v>43191</v>
      </c>
      <c r="F2344" s="156">
        <v>574717.31000000006</v>
      </c>
      <c r="G2344" s="131">
        <f t="shared" si="160"/>
        <v>102989.341952</v>
      </c>
      <c r="H2344" s="156">
        <v>3264.55</v>
      </c>
      <c r="I2344" s="156">
        <v>0</v>
      </c>
      <c r="J2344" s="156">
        <v>0</v>
      </c>
      <c r="K2344" s="131">
        <f t="shared" si="161"/>
        <v>3264.55</v>
      </c>
      <c r="L2344" s="134">
        <v>0.1792</v>
      </c>
    </row>
    <row r="2345" spans="3:12">
      <c r="C2345" s="161">
        <f t="shared" si="159"/>
        <v>2018</v>
      </c>
      <c r="D2345" s="35" t="s">
        <v>295</v>
      </c>
      <c r="E2345" s="227">
        <v>43221</v>
      </c>
      <c r="F2345" s="156">
        <v>592750.18999999994</v>
      </c>
      <c r="G2345" s="131">
        <f t="shared" si="160"/>
        <v>106220.83404799999</v>
      </c>
      <c r="H2345" s="156">
        <v>13662.44</v>
      </c>
      <c r="I2345" s="156">
        <v>0</v>
      </c>
      <c r="J2345" s="156">
        <v>0</v>
      </c>
      <c r="K2345" s="131">
        <f t="shared" si="161"/>
        <v>13662.44</v>
      </c>
      <c r="L2345" s="134">
        <v>0.1792</v>
      </c>
    </row>
    <row r="2346" spans="3:12">
      <c r="C2346" s="161">
        <f t="shared" si="159"/>
        <v>2018</v>
      </c>
      <c r="D2346" s="35" t="s">
        <v>295</v>
      </c>
      <c r="E2346" s="227">
        <v>43252</v>
      </c>
      <c r="F2346" s="156">
        <v>543216.62</v>
      </c>
      <c r="G2346" s="131">
        <f t="shared" si="160"/>
        <v>97344.418303999992</v>
      </c>
      <c r="H2346" s="156">
        <v>2952.77</v>
      </c>
      <c r="I2346" s="156">
        <v>160337.01</v>
      </c>
      <c r="J2346" s="156">
        <v>0</v>
      </c>
      <c r="K2346" s="131">
        <f t="shared" si="161"/>
        <v>163289.78</v>
      </c>
      <c r="L2346" s="134">
        <v>0.1792</v>
      </c>
    </row>
    <row r="2347" spans="3:12">
      <c r="C2347" s="161">
        <f t="shared" si="159"/>
        <v>2018</v>
      </c>
      <c r="D2347" s="35" t="s">
        <v>295</v>
      </c>
      <c r="E2347" s="227">
        <v>43282</v>
      </c>
      <c r="F2347" s="156">
        <v>573109</v>
      </c>
      <c r="G2347" s="131">
        <f t="shared" si="160"/>
        <v>102701.13279999999</v>
      </c>
      <c r="H2347" s="156">
        <v>1888.32</v>
      </c>
      <c r="I2347" s="156">
        <v>0</v>
      </c>
      <c r="J2347" s="156">
        <v>0</v>
      </c>
      <c r="K2347" s="131">
        <f t="shared" si="161"/>
        <v>1888.32</v>
      </c>
      <c r="L2347" s="134">
        <v>0.1792</v>
      </c>
    </row>
    <row r="2348" spans="3:12">
      <c r="C2348" s="161">
        <f t="shared" si="159"/>
        <v>2018</v>
      </c>
      <c r="D2348" s="35" t="s">
        <v>295</v>
      </c>
      <c r="E2348" s="227">
        <v>43313</v>
      </c>
      <c r="F2348" s="156">
        <v>561366.37</v>
      </c>
      <c r="G2348" s="131">
        <f t="shared" si="160"/>
        <v>100596.853504</v>
      </c>
      <c r="H2348" s="156">
        <v>2610.6</v>
      </c>
      <c r="I2348" s="156">
        <v>982760.01</v>
      </c>
      <c r="J2348" s="156">
        <v>0</v>
      </c>
      <c r="K2348" s="131">
        <f t="shared" si="161"/>
        <v>985370.61</v>
      </c>
      <c r="L2348" s="134">
        <v>0.1792</v>
      </c>
    </row>
    <row r="2349" spans="3:12">
      <c r="C2349" s="161">
        <f t="shared" si="159"/>
        <v>2018</v>
      </c>
      <c r="D2349" s="35" t="s">
        <v>295</v>
      </c>
      <c r="E2349" s="227">
        <v>43344</v>
      </c>
      <c r="F2349" s="156">
        <v>566552.28</v>
      </c>
      <c r="G2349" s="131">
        <f t="shared" si="160"/>
        <v>101526.16857600001</v>
      </c>
      <c r="H2349" s="156">
        <v>3512.19</v>
      </c>
      <c r="I2349" s="156">
        <v>0</v>
      </c>
      <c r="J2349" s="156">
        <v>0</v>
      </c>
      <c r="K2349" s="131">
        <f t="shared" si="161"/>
        <v>3512.19</v>
      </c>
      <c r="L2349" s="134">
        <v>0.1792</v>
      </c>
    </row>
    <row r="2350" spans="3:12">
      <c r="C2350" s="161">
        <f t="shared" si="159"/>
        <v>2018</v>
      </c>
      <c r="D2350" s="35" t="s">
        <v>295</v>
      </c>
      <c r="E2350" s="227">
        <v>43374</v>
      </c>
      <c r="F2350" s="156">
        <v>578893.84</v>
      </c>
      <c r="G2350" s="131">
        <f t="shared" si="160"/>
        <v>103737.776128</v>
      </c>
      <c r="H2350" s="156">
        <v>412863.07</v>
      </c>
      <c r="I2350" s="156">
        <v>0</v>
      </c>
      <c r="J2350" s="156">
        <v>0</v>
      </c>
      <c r="K2350" s="131">
        <f t="shared" si="161"/>
        <v>412863.07</v>
      </c>
      <c r="L2350" s="134">
        <v>0.1792</v>
      </c>
    </row>
    <row r="2351" spans="3:12">
      <c r="C2351" s="161">
        <f t="shared" si="159"/>
        <v>2018</v>
      </c>
      <c r="D2351" s="35" t="s">
        <v>295</v>
      </c>
      <c r="E2351" s="227">
        <v>43405</v>
      </c>
      <c r="F2351" s="156">
        <v>610349.61569999997</v>
      </c>
      <c r="G2351" s="131">
        <f t="shared" si="160"/>
        <v>109374.65113344</v>
      </c>
      <c r="H2351" s="156">
        <v>199649.61</v>
      </c>
      <c r="I2351" s="156">
        <v>0</v>
      </c>
      <c r="J2351" s="156">
        <v>86445</v>
      </c>
      <c r="K2351" s="131">
        <f t="shared" si="161"/>
        <v>286094.61</v>
      </c>
      <c r="L2351" s="134">
        <v>0.1792</v>
      </c>
    </row>
    <row r="2352" spans="3:12">
      <c r="C2352" s="161">
        <f t="shared" si="159"/>
        <v>2018</v>
      </c>
      <c r="D2352" s="35" t="s">
        <v>295</v>
      </c>
      <c r="E2352" s="227">
        <v>43435</v>
      </c>
      <c r="F2352" s="156">
        <v>657165.13</v>
      </c>
      <c r="G2352" s="131">
        <f t="shared" si="160"/>
        <v>117763.99129599999</v>
      </c>
      <c r="H2352" s="156">
        <v>500849.11</v>
      </c>
      <c r="I2352" s="156">
        <v>0</v>
      </c>
      <c r="J2352" s="156">
        <v>1607.58</v>
      </c>
      <c r="K2352" s="131">
        <f t="shared" si="161"/>
        <v>502456.69</v>
      </c>
      <c r="L2352" s="134">
        <v>0.1792</v>
      </c>
    </row>
    <row r="2353" spans="3:12">
      <c r="C2353" s="161">
        <f t="shared" si="159"/>
        <v>2019</v>
      </c>
      <c r="D2353" s="35" t="s">
        <v>295</v>
      </c>
      <c r="E2353" s="227">
        <v>43466</v>
      </c>
      <c r="F2353" s="156">
        <v>667436.51</v>
      </c>
      <c r="G2353" s="131">
        <f t="shared" si="160"/>
        <v>119604.622592</v>
      </c>
      <c r="H2353" s="156">
        <v>1138.4100000000001</v>
      </c>
      <c r="I2353" s="156">
        <v>0</v>
      </c>
      <c r="J2353" s="156">
        <v>1138.75</v>
      </c>
      <c r="K2353" s="131">
        <f t="shared" si="161"/>
        <v>2277.16</v>
      </c>
      <c r="L2353" s="134">
        <v>0.1792</v>
      </c>
    </row>
    <row r="2354" spans="3:12">
      <c r="C2354" s="161">
        <f t="shared" si="159"/>
        <v>2019</v>
      </c>
      <c r="D2354" s="35" t="s">
        <v>295</v>
      </c>
      <c r="E2354" s="227">
        <v>43497</v>
      </c>
      <c r="F2354" s="156">
        <v>659972.68000000005</v>
      </c>
      <c r="G2354" s="131">
        <f t="shared" si="160"/>
        <v>118267.10425600001</v>
      </c>
      <c r="H2354" s="156">
        <v>381385.98</v>
      </c>
      <c r="I2354" s="156">
        <v>0</v>
      </c>
      <c r="J2354" s="156">
        <v>0</v>
      </c>
      <c r="K2354" s="131">
        <f t="shared" si="161"/>
        <v>381385.98</v>
      </c>
      <c r="L2354" s="134">
        <v>0.1792</v>
      </c>
    </row>
    <row r="2355" spans="3:12">
      <c r="C2355" s="161">
        <f t="shared" si="159"/>
        <v>2019</v>
      </c>
      <c r="D2355" s="35" t="s">
        <v>295</v>
      </c>
      <c r="E2355" s="227">
        <v>43525</v>
      </c>
      <c r="F2355" s="156">
        <v>572912.84</v>
      </c>
      <c r="G2355" s="131">
        <f t="shared" si="160"/>
        <v>102665.98092799999</v>
      </c>
      <c r="H2355" s="156">
        <v>238450.91</v>
      </c>
      <c r="I2355" s="156">
        <v>0</v>
      </c>
      <c r="J2355" s="156">
        <v>0</v>
      </c>
      <c r="K2355" s="131">
        <f t="shared" si="161"/>
        <v>238450.91</v>
      </c>
      <c r="L2355" s="134">
        <v>0.1792</v>
      </c>
    </row>
    <row r="2356" spans="3:12">
      <c r="C2356" s="161">
        <f t="shared" si="159"/>
        <v>2019</v>
      </c>
      <c r="D2356" s="35" t="s">
        <v>295</v>
      </c>
      <c r="E2356" s="227">
        <v>43556</v>
      </c>
      <c r="F2356" s="156">
        <v>619209.09</v>
      </c>
      <c r="G2356" s="131">
        <f t="shared" si="160"/>
        <v>110962.26892799999</v>
      </c>
      <c r="H2356" s="156">
        <v>4594.2700000000004</v>
      </c>
      <c r="I2356" s="156">
        <v>0</v>
      </c>
      <c r="J2356" s="156">
        <v>0</v>
      </c>
      <c r="K2356" s="131">
        <f t="shared" si="161"/>
        <v>4594.2700000000004</v>
      </c>
      <c r="L2356" s="134">
        <v>0.1792</v>
      </c>
    </row>
    <row r="2357" spans="3:12">
      <c r="C2357" s="161">
        <f t="shared" si="159"/>
        <v>2019</v>
      </c>
      <c r="D2357" s="35" t="s">
        <v>295</v>
      </c>
      <c r="E2357" s="227">
        <v>43586</v>
      </c>
      <c r="F2357" s="156">
        <v>598286.73</v>
      </c>
      <c r="G2357" s="131">
        <f t="shared" si="160"/>
        <v>107212.98201599999</v>
      </c>
      <c r="H2357" s="156">
        <v>3352.49</v>
      </c>
      <c r="I2357" s="156">
        <v>0</v>
      </c>
      <c r="J2357" s="156">
        <v>0</v>
      </c>
      <c r="K2357" s="131">
        <f t="shared" si="161"/>
        <v>3352.49</v>
      </c>
      <c r="L2357" s="134">
        <v>0.1792</v>
      </c>
    </row>
    <row r="2358" spans="3:12">
      <c r="C2358" s="161">
        <f t="shared" si="159"/>
        <v>2019</v>
      </c>
      <c r="D2358" s="35" t="s">
        <v>295</v>
      </c>
      <c r="E2358" s="227">
        <v>43617</v>
      </c>
      <c r="F2358" s="156">
        <v>594989.69999999995</v>
      </c>
      <c r="G2358" s="131">
        <f t="shared" si="160"/>
        <v>106622.15423999999</v>
      </c>
      <c r="H2358" s="156">
        <v>21656.69</v>
      </c>
      <c r="I2358" s="156">
        <v>0</v>
      </c>
      <c r="J2358" s="156">
        <v>561.9</v>
      </c>
      <c r="K2358" s="131">
        <f t="shared" si="161"/>
        <v>22218.59</v>
      </c>
      <c r="L2358" s="134">
        <v>0.1792</v>
      </c>
    </row>
    <row r="2359" spans="3:12">
      <c r="C2359" s="161">
        <f t="shared" si="159"/>
        <v>2019</v>
      </c>
      <c r="D2359" s="35" t="s">
        <v>295</v>
      </c>
      <c r="E2359" s="227">
        <v>43647</v>
      </c>
      <c r="F2359" s="156">
        <v>596064.32999999996</v>
      </c>
      <c r="G2359" s="131">
        <f t="shared" si="160"/>
        <v>106814.727936</v>
      </c>
      <c r="H2359" s="156">
        <v>22266.26</v>
      </c>
      <c r="I2359" s="156">
        <v>0</v>
      </c>
      <c r="J2359" s="156">
        <v>0</v>
      </c>
      <c r="K2359" s="131">
        <f t="shared" si="161"/>
        <v>22266.26</v>
      </c>
      <c r="L2359" s="134">
        <v>0.1792</v>
      </c>
    </row>
    <row r="2360" spans="3:12">
      <c r="C2360" s="161">
        <f t="shared" si="159"/>
        <v>2019</v>
      </c>
      <c r="D2360" s="35" t="s">
        <v>295</v>
      </c>
      <c r="E2360" s="227">
        <v>43678</v>
      </c>
      <c r="F2360" s="156">
        <v>652388.4</v>
      </c>
      <c r="G2360" s="131">
        <f t="shared" si="160"/>
        <v>116908.00128</v>
      </c>
      <c r="H2360" s="156">
        <v>3276.12</v>
      </c>
      <c r="I2360" s="156">
        <v>0</v>
      </c>
      <c r="J2360" s="156">
        <v>0</v>
      </c>
      <c r="K2360" s="131">
        <f t="shared" si="161"/>
        <v>3276.12</v>
      </c>
      <c r="L2360" s="134">
        <v>0.1792</v>
      </c>
    </row>
    <row r="2361" spans="3:12">
      <c r="C2361" s="161">
        <f t="shared" si="159"/>
        <v>2019</v>
      </c>
      <c r="D2361" s="35" t="s">
        <v>295</v>
      </c>
      <c r="E2361" s="227">
        <v>43709</v>
      </c>
      <c r="F2361" s="156">
        <v>722432.35</v>
      </c>
      <c r="G2361" s="131">
        <f t="shared" si="160"/>
        <v>129459.87711999999</v>
      </c>
      <c r="H2361" s="156">
        <v>5358.91</v>
      </c>
      <c r="I2361" s="156">
        <v>0</v>
      </c>
      <c r="J2361" s="156">
        <v>0</v>
      </c>
      <c r="K2361" s="131">
        <f t="shared" si="161"/>
        <v>5358.91</v>
      </c>
      <c r="L2361" s="134">
        <v>0.1792</v>
      </c>
    </row>
    <row r="2362" spans="3:12">
      <c r="C2362" s="161">
        <f t="shared" si="159"/>
        <v>2019</v>
      </c>
      <c r="D2362" s="35" t="s">
        <v>295</v>
      </c>
      <c r="E2362" s="227">
        <v>43739</v>
      </c>
      <c r="F2362" s="156">
        <v>704693.8</v>
      </c>
      <c r="G2362" s="131">
        <f t="shared" si="160"/>
        <v>126281.12896</v>
      </c>
      <c r="H2362" s="156">
        <v>3857.12</v>
      </c>
      <c r="I2362" s="156">
        <v>0</v>
      </c>
      <c r="J2362" s="156">
        <v>0</v>
      </c>
      <c r="K2362" s="131">
        <f t="shared" si="161"/>
        <v>3857.12</v>
      </c>
      <c r="L2362" s="134">
        <v>0.1792</v>
      </c>
    </row>
    <row r="2363" spans="3:12">
      <c r="C2363" s="161">
        <f t="shared" si="159"/>
        <v>2019</v>
      </c>
      <c r="D2363" s="35" t="s">
        <v>295</v>
      </c>
      <c r="E2363" s="227">
        <v>43770</v>
      </c>
      <c r="F2363" s="156">
        <v>759833.51</v>
      </c>
      <c r="G2363" s="131">
        <f t="shared" si="160"/>
        <v>136162.16499200001</v>
      </c>
      <c r="H2363" s="156">
        <v>4172.9399999999996</v>
      </c>
      <c r="I2363" s="156">
        <v>0</v>
      </c>
      <c r="J2363" s="156">
        <v>0</v>
      </c>
      <c r="K2363" s="131">
        <f t="shared" si="161"/>
        <v>4172.9399999999996</v>
      </c>
      <c r="L2363" s="134">
        <v>0.1792</v>
      </c>
    </row>
    <row r="2364" spans="3:12">
      <c r="C2364" s="161">
        <f t="shared" si="159"/>
        <v>2019</v>
      </c>
      <c r="D2364" s="35" t="s">
        <v>295</v>
      </c>
      <c r="E2364" s="227">
        <v>43800</v>
      </c>
      <c r="F2364" s="156">
        <v>681481.46</v>
      </c>
      <c r="G2364" s="131">
        <f t="shared" si="160"/>
        <v>122121.47763199999</v>
      </c>
      <c r="H2364" s="156">
        <v>1920.15</v>
      </c>
      <c r="I2364" s="156">
        <v>0</v>
      </c>
      <c r="J2364" s="156">
        <v>0</v>
      </c>
      <c r="K2364" s="131">
        <f t="shared" si="161"/>
        <v>1920.15</v>
      </c>
      <c r="L2364" s="134">
        <v>0.1792</v>
      </c>
    </row>
    <row r="2365" spans="3:12">
      <c r="C2365" s="161">
        <f t="shared" si="159"/>
        <v>2020</v>
      </c>
      <c r="D2365" s="35" t="s">
        <v>295</v>
      </c>
      <c r="E2365" s="227">
        <v>43831</v>
      </c>
      <c r="F2365" s="156">
        <v>694772.36</v>
      </c>
      <c r="G2365" s="131">
        <f t="shared" si="160"/>
        <v>124503.20691199999</v>
      </c>
      <c r="H2365" s="156">
        <v>1495.67</v>
      </c>
      <c r="I2365" s="156">
        <v>0</v>
      </c>
      <c r="J2365" s="156">
        <v>0</v>
      </c>
      <c r="K2365" s="131">
        <f t="shared" si="161"/>
        <v>1495.67</v>
      </c>
      <c r="L2365" s="134">
        <v>0.1792</v>
      </c>
    </row>
    <row r="2366" spans="3:12">
      <c r="C2366" s="161">
        <f t="shared" si="159"/>
        <v>2020</v>
      </c>
      <c r="D2366" s="35" t="s">
        <v>295</v>
      </c>
      <c r="E2366" s="227">
        <v>43862</v>
      </c>
      <c r="F2366" s="156">
        <v>670373.21</v>
      </c>
      <c r="G2366" s="131">
        <f t="shared" si="160"/>
        <v>120130.87923199999</v>
      </c>
      <c r="H2366" s="156">
        <v>21911.46</v>
      </c>
      <c r="I2366" s="156">
        <v>0</v>
      </c>
      <c r="J2366" s="156">
        <v>0</v>
      </c>
      <c r="K2366" s="131">
        <f t="shared" si="161"/>
        <v>21911.46</v>
      </c>
      <c r="L2366" s="134">
        <v>0.1792</v>
      </c>
    </row>
    <row r="2367" spans="3:12">
      <c r="C2367" s="161">
        <f t="shared" si="159"/>
        <v>2020</v>
      </c>
      <c r="D2367" s="35" t="s">
        <v>295</v>
      </c>
      <c r="E2367" s="227">
        <v>43891</v>
      </c>
      <c r="F2367" s="156">
        <v>658590.77295000001</v>
      </c>
      <c r="G2367" s="131">
        <f t="shared" si="160"/>
        <v>118019.46651264001</v>
      </c>
      <c r="H2367" s="156">
        <v>2921.84</v>
      </c>
      <c r="I2367" s="156">
        <v>0</v>
      </c>
      <c r="J2367" s="156">
        <v>0</v>
      </c>
      <c r="K2367" s="131">
        <f t="shared" si="161"/>
        <v>2921.84</v>
      </c>
      <c r="L2367" s="134">
        <v>0.1792</v>
      </c>
    </row>
    <row r="2368" spans="3:12">
      <c r="C2368" s="161">
        <f t="shared" si="159"/>
        <v>2020</v>
      </c>
      <c r="D2368" s="35" t="s">
        <v>295</v>
      </c>
      <c r="E2368" s="227">
        <v>43922</v>
      </c>
      <c r="F2368" s="156">
        <v>707553.020625</v>
      </c>
      <c r="G2368" s="131">
        <f t="shared" si="160"/>
        <v>126793.501296</v>
      </c>
      <c r="H2368" s="156">
        <v>2975.43</v>
      </c>
      <c r="I2368" s="156">
        <v>0</v>
      </c>
      <c r="J2368" s="156">
        <v>0</v>
      </c>
      <c r="K2368" s="131">
        <f t="shared" si="161"/>
        <v>2975.43</v>
      </c>
      <c r="L2368" s="134">
        <v>0.1792</v>
      </c>
    </row>
    <row r="2369" spans="3:12">
      <c r="C2369" s="161">
        <f t="shared" si="159"/>
        <v>2020</v>
      </c>
      <c r="D2369" s="35" t="s">
        <v>295</v>
      </c>
      <c r="E2369" s="227">
        <v>43952</v>
      </c>
      <c r="F2369" s="156">
        <v>638643.71</v>
      </c>
      <c r="G2369" s="131">
        <f t="shared" si="160"/>
        <v>114444.952832</v>
      </c>
      <c r="H2369" s="156">
        <v>1968.7</v>
      </c>
      <c r="I2369" s="156">
        <v>0</v>
      </c>
      <c r="J2369" s="156">
        <v>0</v>
      </c>
      <c r="K2369" s="131">
        <f t="shared" si="161"/>
        <v>1968.7</v>
      </c>
      <c r="L2369" s="134">
        <v>0.1792</v>
      </c>
    </row>
    <row r="2370" spans="3:12">
      <c r="C2370" s="161">
        <f t="shared" si="159"/>
        <v>2020</v>
      </c>
      <c r="D2370" s="35" t="s">
        <v>295</v>
      </c>
      <c r="E2370" s="227">
        <v>43983</v>
      </c>
      <c r="F2370" s="156">
        <v>629396.46</v>
      </c>
      <c r="G2370" s="131">
        <f t="shared" si="160"/>
        <v>112787.845632</v>
      </c>
      <c r="H2370" s="156">
        <v>3151.51</v>
      </c>
      <c r="I2370" s="156">
        <v>0</v>
      </c>
      <c r="J2370" s="156">
        <v>0</v>
      </c>
      <c r="K2370" s="131">
        <f t="shared" si="161"/>
        <v>3151.51</v>
      </c>
      <c r="L2370" s="134">
        <v>0.1792</v>
      </c>
    </row>
    <row r="2371" spans="3:12">
      <c r="C2371" s="161">
        <f t="shared" si="159"/>
        <v>2020</v>
      </c>
      <c r="D2371" s="35" t="s">
        <v>295</v>
      </c>
      <c r="E2371" s="227">
        <v>44013</v>
      </c>
      <c r="F2371" s="156">
        <v>636268.92000000004</v>
      </c>
      <c r="G2371" s="131">
        <f t="shared" si="160"/>
        <v>114019.39046400001</v>
      </c>
      <c r="H2371" s="156">
        <v>14269.39</v>
      </c>
      <c r="I2371" s="156">
        <v>0</v>
      </c>
      <c r="J2371" s="156">
        <v>0</v>
      </c>
      <c r="K2371" s="131">
        <f t="shared" si="161"/>
        <v>14269.39</v>
      </c>
      <c r="L2371" s="134">
        <v>0.1792</v>
      </c>
    </row>
    <row r="2372" spans="3:12">
      <c r="C2372" s="161">
        <f t="shared" ref="C2372:C2435" si="162">YEAR(E2372)</f>
        <v>2020</v>
      </c>
      <c r="D2372" s="35" t="s">
        <v>295</v>
      </c>
      <c r="E2372" s="227">
        <v>44044</v>
      </c>
      <c r="F2372" s="156">
        <v>681731.95</v>
      </c>
      <c r="G2372" s="131">
        <f t="shared" ref="G2372:G2435" si="163">F2372*L2372</f>
        <v>122166.36543999999</v>
      </c>
      <c r="H2372" s="156">
        <v>781605.41</v>
      </c>
      <c r="I2372" s="156">
        <v>0</v>
      </c>
      <c r="J2372" s="156">
        <v>0</v>
      </c>
      <c r="K2372" s="131">
        <f t="shared" ref="K2372:K2435" si="164">SUM(H2372:J2372)</f>
        <v>781605.41</v>
      </c>
      <c r="L2372" s="134">
        <v>0.1792</v>
      </c>
    </row>
    <row r="2373" spans="3:12">
      <c r="C2373" s="161">
        <f t="shared" si="162"/>
        <v>2020</v>
      </c>
      <c r="D2373" s="35" t="s">
        <v>295</v>
      </c>
      <c r="E2373" s="227">
        <v>44075</v>
      </c>
      <c r="F2373" s="156">
        <v>725078.24</v>
      </c>
      <c r="G2373" s="131">
        <f t="shared" si="163"/>
        <v>129934.02060799999</v>
      </c>
      <c r="H2373" s="156">
        <v>8645.2900000000009</v>
      </c>
      <c r="I2373" s="156">
        <v>0</v>
      </c>
      <c r="J2373" s="156">
        <v>0</v>
      </c>
      <c r="K2373" s="131">
        <f t="shared" si="164"/>
        <v>8645.2900000000009</v>
      </c>
      <c r="L2373" s="134">
        <v>0.1792</v>
      </c>
    </row>
    <row r="2374" spans="3:12">
      <c r="C2374" s="161">
        <f t="shared" si="162"/>
        <v>2020</v>
      </c>
      <c r="D2374" s="35" t="s">
        <v>295</v>
      </c>
      <c r="E2374" s="227">
        <v>44105</v>
      </c>
      <c r="F2374" s="156">
        <v>789291.05</v>
      </c>
      <c r="G2374" s="131">
        <f t="shared" si="163"/>
        <v>141440.95616</v>
      </c>
      <c r="H2374" s="156">
        <v>3627.12</v>
      </c>
      <c r="I2374" s="156">
        <v>0</v>
      </c>
      <c r="J2374" s="156">
        <v>0</v>
      </c>
      <c r="K2374" s="131">
        <f t="shared" si="164"/>
        <v>3627.12</v>
      </c>
      <c r="L2374" s="134">
        <v>0.1792</v>
      </c>
    </row>
    <row r="2375" spans="3:12">
      <c r="C2375" s="161">
        <f t="shared" si="162"/>
        <v>2020</v>
      </c>
      <c r="D2375" s="35" t="s">
        <v>295</v>
      </c>
      <c r="E2375" s="227">
        <v>44136</v>
      </c>
      <c r="F2375" s="156">
        <v>718277.44</v>
      </c>
      <c r="G2375" s="131">
        <f t="shared" si="163"/>
        <v>128715.31724799999</v>
      </c>
      <c r="H2375" s="156">
        <v>4247.7299999999996</v>
      </c>
      <c r="I2375" s="156">
        <v>0</v>
      </c>
      <c r="J2375" s="156">
        <v>0</v>
      </c>
      <c r="K2375" s="131">
        <f t="shared" si="164"/>
        <v>4247.7299999999996</v>
      </c>
      <c r="L2375" s="134">
        <v>0.1792</v>
      </c>
    </row>
    <row r="2376" spans="3:12">
      <c r="C2376" s="161">
        <f t="shared" si="162"/>
        <v>2020</v>
      </c>
      <c r="D2376" s="35" t="s">
        <v>295</v>
      </c>
      <c r="E2376" s="227">
        <v>44166</v>
      </c>
      <c r="F2376" s="156">
        <v>746926.61</v>
      </c>
      <c r="G2376" s="131">
        <f t="shared" si="163"/>
        <v>133849.24851199999</v>
      </c>
      <c r="H2376" s="156">
        <v>1634.61</v>
      </c>
      <c r="I2376" s="156">
        <v>0</v>
      </c>
      <c r="J2376" s="156">
        <v>0</v>
      </c>
      <c r="K2376" s="131">
        <f t="shared" si="164"/>
        <v>1634.61</v>
      </c>
      <c r="L2376" s="134">
        <v>0.1792</v>
      </c>
    </row>
    <row r="2377" spans="3:12">
      <c r="C2377" s="161">
        <f t="shared" si="162"/>
        <v>2021</v>
      </c>
      <c r="D2377" s="35" t="s">
        <v>295</v>
      </c>
      <c r="E2377" s="227">
        <v>44197</v>
      </c>
      <c r="F2377" s="156">
        <v>770610.69</v>
      </c>
      <c r="G2377" s="131">
        <f t="shared" si="163"/>
        <v>138093.43564799998</v>
      </c>
      <c r="H2377" s="156">
        <v>1306.56</v>
      </c>
      <c r="I2377" s="156">
        <v>0</v>
      </c>
      <c r="J2377" s="156">
        <v>0</v>
      </c>
      <c r="K2377" s="131">
        <f t="shared" si="164"/>
        <v>1306.56</v>
      </c>
      <c r="L2377" s="134">
        <v>0.1792</v>
      </c>
    </row>
    <row r="2378" spans="3:12">
      <c r="C2378" s="161">
        <f t="shared" si="162"/>
        <v>2021</v>
      </c>
      <c r="D2378" s="35" t="s">
        <v>295</v>
      </c>
      <c r="E2378" s="227">
        <v>44229</v>
      </c>
      <c r="F2378" s="156">
        <v>969258.07</v>
      </c>
      <c r="G2378" s="131">
        <f t="shared" si="163"/>
        <v>173691.04614399999</v>
      </c>
      <c r="H2378" s="156">
        <v>1395.2</v>
      </c>
      <c r="I2378" s="156">
        <v>0</v>
      </c>
      <c r="J2378" s="156">
        <v>0</v>
      </c>
      <c r="K2378" s="131">
        <f t="shared" si="164"/>
        <v>1395.2</v>
      </c>
      <c r="L2378" s="134">
        <v>0.1792</v>
      </c>
    </row>
    <row r="2379" spans="3:12">
      <c r="C2379" s="161">
        <f t="shared" si="162"/>
        <v>2021</v>
      </c>
      <c r="D2379" s="35" t="s">
        <v>295</v>
      </c>
      <c r="E2379" s="227">
        <v>44258</v>
      </c>
      <c r="F2379" s="156">
        <v>681504.49</v>
      </c>
      <c r="G2379" s="131">
        <f t="shared" si="163"/>
        <v>122125.60460799999</v>
      </c>
      <c r="H2379" s="156">
        <v>4729.51</v>
      </c>
      <c r="I2379" s="156">
        <v>9805.44</v>
      </c>
      <c r="J2379" s="156">
        <v>0</v>
      </c>
      <c r="K2379" s="131">
        <f t="shared" si="164"/>
        <v>14534.95</v>
      </c>
      <c r="L2379" s="134">
        <v>0.1792</v>
      </c>
    </row>
    <row r="2380" spans="3:12">
      <c r="C2380" s="161">
        <f t="shared" si="162"/>
        <v>2021</v>
      </c>
      <c r="D2380" s="35" t="s">
        <v>295</v>
      </c>
      <c r="E2380" s="227">
        <v>44290</v>
      </c>
      <c r="F2380" s="156">
        <v>806061.43</v>
      </c>
      <c r="G2380" s="131">
        <f t="shared" si="163"/>
        <v>144446.20825600001</v>
      </c>
      <c r="H2380" s="156">
        <v>7564.28</v>
      </c>
      <c r="I2380" s="156">
        <v>0</v>
      </c>
      <c r="J2380" s="156">
        <v>0</v>
      </c>
      <c r="K2380" s="131">
        <f t="shared" si="164"/>
        <v>7564.28</v>
      </c>
      <c r="L2380" s="134">
        <v>0.1792</v>
      </c>
    </row>
    <row r="2381" spans="3:12">
      <c r="C2381" s="161">
        <f t="shared" si="162"/>
        <v>2021</v>
      </c>
      <c r="D2381" s="35" t="s">
        <v>295</v>
      </c>
      <c r="E2381" s="227">
        <v>44321</v>
      </c>
      <c r="F2381" s="156">
        <v>700705.54</v>
      </c>
      <c r="G2381" s="131">
        <f t="shared" si="163"/>
        <v>125566.432768</v>
      </c>
      <c r="H2381" s="156">
        <v>4126.67</v>
      </c>
      <c r="I2381" s="156">
        <v>0</v>
      </c>
      <c r="J2381" s="156">
        <v>0</v>
      </c>
      <c r="K2381" s="131">
        <f t="shared" si="164"/>
        <v>4126.67</v>
      </c>
      <c r="L2381" s="134">
        <v>0.1792</v>
      </c>
    </row>
    <row r="2382" spans="3:12">
      <c r="C2382" s="161">
        <f t="shared" si="162"/>
        <v>2021</v>
      </c>
      <c r="D2382" s="35" t="s">
        <v>295</v>
      </c>
      <c r="E2382" s="227">
        <v>44353</v>
      </c>
      <c r="F2382" s="156">
        <v>674111.09</v>
      </c>
      <c r="G2382" s="131">
        <f t="shared" si="163"/>
        <v>120800.70732799999</v>
      </c>
      <c r="H2382" s="156">
        <v>5354.15</v>
      </c>
      <c r="I2382" s="156">
        <v>0</v>
      </c>
      <c r="J2382" s="156">
        <v>0</v>
      </c>
      <c r="K2382" s="131">
        <f t="shared" si="164"/>
        <v>5354.15</v>
      </c>
      <c r="L2382" s="134">
        <v>0.1792</v>
      </c>
    </row>
    <row r="2383" spans="3:12">
      <c r="C2383" s="161">
        <f t="shared" si="162"/>
        <v>2015</v>
      </c>
      <c r="D2383" s="35" t="s">
        <v>296</v>
      </c>
      <c r="E2383" s="227">
        <v>42309</v>
      </c>
      <c r="F2383" s="156">
        <v>30369.759999999998</v>
      </c>
      <c r="G2383" s="131">
        <f t="shared" si="163"/>
        <v>5442.2609919999995</v>
      </c>
      <c r="H2383" s="156">
        <v>262.64</v>
      </c>
      <c r="I2383" s="156">
        <v>0</v>
      </c>
      <c r="J2383" s="156">
        <v>0</v>
      </c>
      <c r="K2383" s="131">
        <f t="shared" si="164"/>
        <v>262.64</v>
      </c>
      <c r="L2383" s="134">
        <v>0.1792</v>
      </c>
    </row>
    <row r="2384" spans="3:12">
      <c r="C2384" s="161">
        <f t="shared" si="162"/>
        <v>2015</v>
      </c>
      <c r="D2384" s="35" t="s">
        <v>296</v>
      </c>
      <c r="E2384" s="227">
        <v>42339</v>
      </c>
      <c r="F2384" s="156">
        <v>28527.119999999999</v>
      </c>
      <c r="G2384" s="131">
        <f t="shared" si="163"/>
        <v>5112.0599039999997</v>
      </c>
      <c r="H2384" s="156">
        <v>53.89</v>
      </c>
      <c r="I2384" s="156">
        <v>0</v>
      </c>
      <c r="J2384" s="156">
        <v>0</v>
      </c>
      <c r="K2384" s="131">
        <f t="shared" si="164"/>
        <v>53.89</v>
      </c>
      <c r="L2384" s="134">
        <v>0.1792</v>
      </c>
    </row>
    <row r="2385" spans="3:12">
      <c r="C2385" s="161">
        <f t="shared" si="162"/>
        <v>2016</v>
      </c>
      <c r="D2385" s="35" t="s">
        <v>296</v>
      </c>
      <c r="E2385" s="227">
        <v>42370</v>
      </c>
      <c r="F2385" s="156">
        <v>30225.69</v>
      </c>
      <c r="G2385" s="131">
        <f t="shared" si="163"/>
        <v>5416.4436479999995</v>
      </c>
      <c r="H2385" s="156">
        <v>0</v>
      </c>
      <c r="I2385" s="156">
        <v>0</v>
      </c>
      <c r="J2385" s="156">
        <v>0</v>
      </c>
      <c r="K2385" s="131">
        <f t="shared" si="164"/>
        <v>0</v>
      </c>
      <c r="L2385" s="134">
        <v>0.1792</v>
      </c>
    </row>
    <row r="2386" spans="3:12">
      <c r="C2386" s="161">
        <f t="shared" si="162"/>
        <v>2016</v>
      </c>
      <c r="D2386" s="35" t="s">
        <v>296</v>
      </c>
      <c r="E2386" s="227">
        <v>42401</v>
      </c>
      <c r="F2386" s="156">
        <v>32229.93</v>
      </c>
      <c r="G2386" s="131">
        <f t="shared" si="163"/>
        <v>5775.6034559999998</v>
      </c>
      <c r="H2386" s="156">
        <v>130.85</v>
      </c>
      <c r="I2386" s="156">
        <v>0</v>
      </c>
      <c r="J2386" s="156">
        <v>0</v>
      </c>
      <c r="K2386" s="131">
        <f t="shared" si="164"/>
        <v>130.85</v>
      </c>
      <c r="L2386" s="134">
        <v>0.1792</v>
      </c>
    </row>
    <row r="2387" spans="3:12">
      <c r="C2387" s="161">
        <f t="shared" si="162"/>
        <v>2016</v>
      </c>
      <c r="D2387" s="35" t="s">
        <v>296</v>
      </c>
      <c r="E2387" s="227">
        <v>42430</v>
      </c>
      <c r="F2387" s="156">
        <v>29907.32</v>
      </c>
      <c r="G2387" s="131">
        <f t="shared" si="163"/>
        <v>5359.3917439999996</v>
      </c>
      <c r="H2387" s="156">
        <v>67.48</v>
      </c>
      <c r="I2387" s="156">
        <v>0</v>
      </c>
      <c r="J2387" s="156">
        <v>0</v>
      </c>
      <c r="K2387" s="131">
        <f t="shared" si="164"/>
        <v>67.48</v>
      </c>
      <c r="L2387" s="134">
        <v>0.1792</v>
      </c>
    </row>
    <row r="2388" spans="3:12">
      <c r="C2388" s="161">
        <f t="shared" si="162"/>
        <v>2016</v>
      </c>
      <c r="D2388" s="35" t="s">
        <v>296</v>
      </c>
      <c r="E2388" s="227">
        <v>42461</v>
      </c>
      <c r="F2388" s="156">
        <v>31989.29</v>
      </c>
      <c r="G2388" s="131">
        <f t="shared" si="163"/>
        <v>5732.4807680000004</v>
      </c>
      <c r="H2388" s="156">
        <v>0</v>
      </c>
      <c r="I2388" s="156">
        <v>0</v>
      </c>
      <c r="J2388" s="156">
        <v>0</v>
      </c>
      <c r="K2388" s="131">
        <f t="shared" si="164"/>
        <v>0</v>
      </c>
      <c r="L2388" s="134">
        <v>0.1792</v>
      </c>
    </row>
    <row r="2389" spans="3:12">
      <c r="C2389" s="161">
        <f t="shared" si="162"/>
        <v>2016</v>
      </c>
      <c r="D2389" s="35" t="s">
        <v>296</v>
      </c>
      <c r="E2389" s="227">
        <v>42491</v>
      </c>
      <c r="F2389" s="156">
        <v>28096.52</v>
      </c>
      <c r="G2389" s="131">
        <f t="shared" si="163"/>
        <v>5034.8963839999997</v>
      </c>
      <c r="H2389" s="156">
        <v>8309.0400000000009</v>
      </c>
      <c r="I2389" s="156">
        <v>0</v>
      </c>
      <c r="J2389" s="156">
        <v>0</v>
      </c>
      <c r="K2389" s="131">
        <f t="shared" si="164"/>
        <v>8309.0400000000009</v>
      </c>
      <c r="L2389" s="134">
        <v>0.1792</v>
      </c>
    </row>
    <row r="2390" spans="3:12">
      <c r="C2390" s="161">
        <f t="shared" si="162"/>
        <v>2016</v>
      </c>
      <c r="D2390" s="35" t="s">
        <v>296</v>
      </c>
      <c r="E2390" s="227">
        <v>42522</v>
      </c>
      <c r="F2390" s="156">
        <v>28438.58</v>
      </c>
      <c r="G2390" s="131">
        <f t="shared" si="163"/>
        <v>5096.1935360000007</v>
      </c>
      <c r="H2390" s="156">
        <v>384.99</v>
      </c>
      <c r="I2390" s="156">
        <v>0</v>
      </c>
      <c r="J2390" s="156">
        <v>0</v>
      </c>
      <c r="K2390" s="131">
        <f t="shared" si="164"/>
        <v>384.99</v>
      </c>
      <c r="L2390" s="134">
        <v>0.1792</v>
      </c>
    </row>
    <row r="2391" spans="3:12">
      <c r="C2391" s="161">
        <f t="shared" si="162"/>
        <v>2016</v>
      </c>
      <c r="D2391" s="35" t="s">
        <v>296</v>
      </c>
      <c r="E2391" s="227">
        <v>42552</v>
      </c>
      <c r="F2391" s="156">
        <v>29874.9</v>
      </c>
      <c r="G2391" s="131">
        <f t="shared" si="163"/>
        <v>5353.5820800000001</v>
      </c>
      <c r="H2391" s="156">
        <v>132.26</v>
      </c>
      <c r="I2391" s="156">
        <v>0</v>
      </c>
      <c r="J2391" s="156">
        <v>3980</v>
      </c>
      <c r="K2391" s="131">
        <f t="shared" si="164"/>
        <v>4112.26</v>
      </c>
      <c r="L2391" s="134">
        <v>0.1792</v>
      </c>
    </row>
    <row r="2392" spans="3:12">
      <c r="C2392" s="161">
        <f t="shared" si="162"/>
        <v>2016</v>
      </c>
      <c r="D2392" s="35" t="s">
        <v>296</v>
      </c>
      <c r="E2392" s="227">
        <v>42583</v>
      </c>
      <c r="F2392" s="156">
        <v>32884.14</v>
      </c>
      <c r="G2392" s="131">
        <f t="shared" si="163"/>
        <v>5892.837888</v>
      </c>
      <c r="H2392" s="156">
        <v>53.89</v>
      </c>
      <c r="I2392" s="156">
        <v>0</v>
      </c>
      <c r="J2392" s="156">
        <v>0</v>
      </c>
      <c r="K2392" s="131">
        <f t="shared" si="164"/>
        <v>53.89</v>
      </c>
      <c r="L2392" s="134">
        <v>0.1792</v>
      </c>
    </row>
    <row r="2393" spans="3:12">
      <c r="C2393" s="161">
        <f t="shared" si="162"/>
        <v>2016</v>
      </c>
      <c r="D2393" s="35" t="s">
        <v>296</v>
      </c>
      <c r="E2393" s="227">
        <v>42614</v>
      </c>
      <c r="F2393" s="156">
        <v>32369.74</v>
      </c>
      <c r="G2393" s="131">
        <f t="shared" si="163"/>
        <v>5800.657408</v>
      </c>
      <c r="H2393" s="156">
        <v>107.78</v>
      </c>
      <c r="I2393" s="156">
        <v>0</v>
      </c>
      <c r="J2393" s="156">
        <v>0</v>
      </c>
      <c r="K2393" s="131">
        <f t="shared" si="164"/>
        <v>107.78</v>
      </c>
      <c r="L2393" s="134">
        <v>0.1792</v>
      </c>
    </row>
    <row r="2394" spans="3:12">
      <c r="C2394" s="161">
        <f t="shared" si="162"/>
        <v>2016</v>
      </c>
      <c r="D2394" s="35" t="s">
        <v>296</v>
      </c>
      <c r="E2394" s="227">
        <v>42644</v>
      </c>
      <c r="F2394" s="156">
        <v>34648.730000000003</v>
      </c>
      <c r="G2394" s="131">
        <f t="shared" si="163"/>
        <v>6209.0524160000004</v>
      </c>
      <c r="H2394" s="156">
        <v>0</v>
      </c>
      <c r="I2394" s="156">
        <v>172785.84</v>
      </c>
      <c r="J2394" s="156">
        <v>0</v>
      </c>
      <c r="K2394" s="131">
        <f t="shared" si="164"/>
        <v>172785.84</v>
      </c>
      <c r="L2394" s="134">
        <v>0.1792</v>
      </c>
    </row>
    <row r="2395" spans="3:12">
      <c r="C2395" s="161">
        <f t="shared" si="162"/>
        <v>2016</v>
      </c>
      <c r="D2395" s="35" t="s">
        <v>296</v>
      </c>
      <c r="E2395" s="227">
        <v>42675</v>
      </c>
      <c r="F2395" s="156">
        <v>35779.699999999997</v>
      </c>
      <c r="G2395" s="131">
        <f t="shared" si="163"/>
        <v>6411.7222399999991</v>
      </c>
      <c r="H2395" s="156">
        <v>377.74</v>
      </c>
      <c r="I2395" s="156">
        <v>0</v>
      </c>
      <c r="J2395" s="156">
        <v>0</v>
      </c>
      <c r="K2395" s="131">
        <f t="shared" si="164"/>
        <v>377.74</v>
      </c>
      <c r="L2395" s="134">
        <v>0.1792</v>
      </c>
    </row>
    <row r="2396" spans="3:12">
      <c r="C2396" s="161">
        <f t="shared" si="162"/>
        <v>2016</v>
      </c>
      <c r="D2396" s="35" t="s">
        <v>296</v>
      </c>
      <c r="E2396" s="227">
        <v>42705</v>
      </c>
      <c r="F2396" s="156">
        <v>34236.120000000003</v>
      </c>
      <c r="G2396" s="131">
        <f t="shared" si="163"/>
        <v>6135.1127040000001</v>
      </c>
      <c r="H2396" s="156">
        <v>131.03</v>
      </c>
      <c r="I2396" s="156">
        <v>4810</v>
      </c>
      <c r="J2396" s="156">
        <v>0</v>
      </c>
      <c r="K2396" s="131">
        <f t="shared" si="164"/>
        <v>4941.03</v>
      </c>
      <c r="L2396" s="134">
        <v>0.1792</v>
      </c>
    </row>
    <row r="2397" spans="3:12">
      <c r="C2397" s="161">
        <f t="shared" si="162"/>
        <v>2017</v>
      </c>
      <c r="D2397" s="35" t="s">
        <v>296</v>
      </c>
      <c r="E2397" s="227">
        <v>42736</v>
      </c>
      <c r="F2397" s="156">
        <v>35784.97</v>
      </c>
      <c r="G2397" s="131">
        <f t="shared" si="163"/>
        <v>6412.6666240000004</v>
      </c>
      <c r="H2397" s="156">
        <v>118.75</v>
      </c>
      <c r="I2397" s="156">
        <v>230193.18</v>
      </c>
      <c r="J2397" s="156">
        <v>1279</v>
      </c>
      <c r="K2397" s="131">
        <f t="shared" si="164"/>
        <v>231590.93</v>
      </c>
      <c r="L2397" s="134">
        <v>0.1792</v>
      </c>
    </row>
    <row r="2398" spans="3:12">
      <c r="C2398" s="161">
        <f t="shared" si="162"/>
        <v>2017</v>
      </c>
      <c r="D2398" s="35" t="s">
        <v>296</v>
      </c>
      <c r="E2398" s="227">
        <v>42767</v>
      </c>
      <c r="F2398" s="156">
        <v>33808.01</v>
      </c>
      <c r="G2398" s="131">
        <f t="shared" si="163"/>
        <v>6058.3953920000004</v>
      </c>
      <c r="H2398" s="156">
        <v>0</v>
      </c>
      <c r="I2398" s="156">
        <v>0</v>
      </c>
      <c r="J2398" s="156">
        <v>0</v>
      </c>
      <c r="K2398" s="131">
        <f t="shared" si="164"/>
        <v>0</v>
      </c>
      <c r="L2398" s="134">
        <v>0.1792</v>
      </c>
    </row>
    <row r="2399" spans="3:12">
      <c r="C2399" s="161">
        <f t="shared" si="162"/>
        <v>2017</v>
      </c>
      <c r="D2399" s="35" t="s">
        <v>296</v>
      </c>
      <c r="E2399" s="227">
        <v>42795</v>
      </c>
      <c r="F2399" s="156">
        <v>34304.1</v>
      </c>
      <c r="G2399" s="131">
        <f t="shared" si="163"/>
        <v>6147.2947199999999</v>
      </c>
      <c r="H2399" s="156">
        <v>326.63</v>
      </c>
      <c r="I2399" s="156">
        <v>0</v>
      </c>
      <c r="J2399" s="156">
        <v>266</v>
      </c>
      <c r="K2399" s="131">
        <f t="shared" si="164"/>
        <v>592.63</v>
      </c>
      <c r="L2399" s="134">
        <v>0.1792</v>
      </c>
    </row>
    <row r="2400" spans="3:12">
      <c r="C2400" s="161">
        <f t="shared" si="162"/>
        <v>2017</v>
      </c>
      <c r="D2400" s="35" t="s">
        <v>296</v>
      </c>
      <c r="E2400" s="227">
        <v>42826</v>
      </c>
      <c r="F2400" s="156">
        <v>33678.370000000003</v>
      </c>
      <c r="G2400" s="131">
        <f t="shared" si="163"/>
        <v>6035.163904</v>
      </c>
      <c r="H2400" s="156">
        <v>53.89</v>
      </c>
      <c r="I2400" s="156">
        <v>32783.910000000003</v>
      </c>
      <c r="J2400" s="156">
        <v>0</v>
      </c>
      <c r="K2400" s="131">
        <f t="shared" si="164"/>
        <v>32837.800000000003</v>
      </c>
      <c r="L2400" s="134">
        <v>0.1792</v>
      </c>
    </row>
    <row r="2401" spans="3:12">
      <c r="C2401" s="161">
        <f t="shared" si="162"/>
        <v>2017</v>
      </c>
      <c r="D2401" s="35" t="s">
        <v>296</v>
      </c>
      <c r="E2401" s="227">
        <v>42856</v>
      </c>
      <c r="F2401" s="156">
        <v>31431.05</v>
      </c>
      <c r="G2401" s="131">
        <f t="shared" si="163"/>
        <v>5632.44416</v>
      </c>
      <c r="H2401" s="156">
        <v>53.89</v>
      </c>
      <c r="I2401" s="156">
        <v>0</v>
      </c>
      <c r="J2401" s="156">
        <v>0</v>
      </c>
      <c r="K2401" s="131">
        <f t="shared" si="164"/>
        <v>53.89</v>
      </c>
      <c r="L2401" s="134">
        <v>0.1792</v>
      </c>
    </row>
    <row r="2402" spans="3:12">
      <c r="C2402" s="161">
        <f t="shared" si="162"/>
        <v>2017</v>
      </c>
      <c r="D2402" s="35" t="s">
        <v>296</v>
      </c>
      <c r="E2402" s="227">
        <v>42887</v>
      </c>
      <c r="F2402" s="156">
        <v>29959.1</v>
      </c>
      <c r="G2402" s="131">
        <f t="shared" si="163"/>
        <v>5368.6707200000001</v>
      </c>
      <c r="H2402" s="156">
        <v>0.01</v>
      </c>
      <c r="I2402" s="156">
        <v>0</v>
      </c>
      <c r="J2402" s="156">
        <v>0</v>
      </c>
      <c r="K2402" s="131">
        <f t="shared" si="164"/>
        <v>0.01</v>
      </c>
      <c r="L2402" s="134">
        <v>0.1792</v>
      </c>
    </row>
    <row r="2403" spans="3:12">
      <c r="C2403" s="161">
        <f t="shared" si="162"/>
        <v>2017</v>
      </c>
      <c r="D2403" s="35" t="s">
        <v>296</v>
      </c>
      <c r="E2403" s="227">
        <v>42917</v>
      </c>
      <c r="F2403" s="156">
        <v>32350.2</v>
      </c>
      <c r="G2403" s="131">
        <f t="shared" si="163"/>
        <v>5797.1558400000004</v>
      </c>
      <c r="H2403" s="156">
        <v>107.79</v>
      </c>
      <c r="I2403" s="156">
        <v>0</v>
      </c>
      <c r="J2403" s="156">
        <v>6490.33</v>
      </c>
      <c r="K2403" s="131">
        <f t="shared" si="164"/>
        <v>6598.12</v>
      </c>
      <c r="L2403" s="134">
        <v>0.1792</v>
      </c>
    </row>
    <row r="2404" spans="3:12">
      <c r="C2404" s="161">
        <f t="shared" si="162"/>
        <v>2017</v>
      </c>
      <c r="D2404" s="35" t="s">
        <v>296</v>
      </c>
      <c r="E2404" s="227">
        <v>42948</v>
      </c>
      <c r="F2404" s="156">
        <v>35877.589999999997</v>
      </c>
      <c r="G2404" s="131">
        <f t="shared" si="163"/>
        <v>6429.2641279999989</v>
      </c>
      <c r="H2404" s="156">
        <v>665.87</v>
      </c>
      <c r="I2404" s="156">
        <v>0</v>
      </c>
      <c r="J2404" s="156">
        <v>0</v>
      </c>
      <c r="K2404" s="131">
        <f t="shared" si="164"/>
        <v>665.87</v>
      </c>
      <c r="L2404" s="134">
        <v>0.1792</v>
      </c>
    </row>
    <row r="2405" spans="3:12">
      <c r="C2405" s="161">
        <f t="shared" si="162"/>
        <v>2017</v>
      </c>
      <c r="D2405" s="35" t="s">
        <v>296</v>
      </c>
      <c r="E2405" s="227">
        <v>42979</v>
      </c>
      <c r="F2405" s="156">
        <v>39765.42</v>
      </c>
      <c r="G2405" s="131">
        <f t="shared" si="163"/>
        <v>7125.963264</v>
      </c>
      <c r="H2405" s="156">
        <v>53.89</v>
      </c>
      <c r="I2405" s="156">
        <v>0</v>
      </c>
      <c r="J2405" s="156">
        <v>0</v>
      </c>
      <c r="K2405" s="131">
        <f t="shared" si="164"/>
        <v>53.89</v>
      </c>
      <c r="L2405" s="134">
        <v>0.1792</v>
      </c>
    </row>
    <row r="2406" spans="3:12">
      <c r="C2406" s="161">
        <f t="shared" si="162"/>
        <v>2017</v>
      </c>
      <c r="D2406" s="35" t="s">
        <v>296</v>
      </c>
      <c r="E2406" s="227">
        <v>43009</v>
      </c>
      <c r="F2406" s="156">
        <v>38873.31</v>
      </c>
      <c r="G2406" s="131">
        <f t="shared" si="163"/>
        <v>6966.0971519999994</v>
      </c>
      <c r="H2406" s="156">
        <v>53.89</v>
      </c>
      <c r="I2406" s="156">
        <v>0</v>
      </c>
      <c r="J2406" s="156">
        <v>0</v>
      </c>
      <c r="K2406" s="131">
        <f t="shared" si="164"/>
        <v>53.89</v>
      </c>
      <c r="L2406" s="134">
        <v>0.1792</v>
      </c>
    </row>
    <row r="2407" spans="3:12">
      <c r="C2407" s="161">
        <f t="shared" si="162"/>
        <v>2017</v>
      </c>
      <c r="D2407" s="35" t="s">
        <v>296</v>
      </c>
      <c r="E2407" s="227">
        <v>43040</v>
      </c>
      <c r="F2407" s="156">
        <v>34676.120000000003</v>
      </c>
      <c r="G2407" s="131">
        <f t="shared" si="163"/>
        <v>6213.9607040000001</v>
      </c>
      <c r="H2407" s="156">
        <v>924.64</v>
      </c>
      <c r="I2407" s="156">
        <v>33667.769999999997</v>
      </c>
      <c r="J2407" s="156">
        <v>0</v>
      </c>
      <c r="K2407" s="131">
        <f t="shared" si="164"/>
        <v>34592.409999999996</v>
      </c>
      <c r="L2407" s="134">
        <v>0.1792</v>
      </c>
    </row>
    <row r="2408" spans="3:12">
      <c r="C2408" s="161">
        <f t="shared" si="162"/>
        <v>2017</v>
      </c>
      <c r="D2408" s="35" t="s">
        <v>296</v>
      </c>
      <c r="E2408" s="227">
        <v>43070</v>
      </c>
      <c r="F2408" s="156">
        <v>39252.07</v>
      </c>
      <c r="G2408" s="131">
        <f t="shared" si="163"/>
        <v>7033.9709439999997</v>
      </c>
      <c r="H2408" s="156">
        <v>1107.8499999999999</v>
      </c>
      <c r="I2408" s="156">
        <v>0</v>
      </c>
      <c r="J2408" s="156">
        <v>0</v>
      </c>
      <c r="K2408" s="131">
        <f t="shared" si="164"/>
        <v>1107.8499999999999</v>
      </c>
      <c r="L2408" s="134">
        <v>0.1792</v>
      </c>
    </row>
    <row r="2409" spans="3:12">
      <c r="C2409" s="161">
        <f t="shared" si="162"/>
        <v>2018</v>
      </c>
      <c r="D2409" s="35" t="s">
        <v>296</v>
      </c>
      <c r="E2409" s="227">
        <v>43101</v>
      </c>
      <c r="F2409" s="156">
        <v>35314.75</v>
      </c>
      <c r="G2409" s="131">
        <f t="shared" si="163"/>
        <v>6328.4031999999997</v>
      </c>
      <c r="H2409" s="156">
        <v>313.20999999999998</v>
      </c>
      <c r="I2409" s="156">
        <v>0</v>
      </c>
      <c r="J2409" s="156">
        <v>0</v>
      </c>
      <c r="K2409" s="131">
        <f t="shared" si="164"/>
        <v>313.20999999999998</v>
      </c>
      <c r="L2409" s="134">
        <v>0.1792</v>
      </c>
    </row>
    <row r="2410" spans="3:12">
      <c r="C2410" s="161">
        <f t="shared" si="162"/>
        <v>2018</v>
      </c>
      <c r="D2410" s="35" t="s">
        <v>296</v>
      </c>
      <c r="E2410" s="227">
        <v>43132</v>
      </c>
      <c r="F2410" s="156">
        <v>35568.47</v>
      </c>
      <c r="G2410" s="131">
        <f t="shared" si="163"/>
        <v>6373.8698240000003</v>
      </c>
      <c r="H2410" s="156">
        <v>164.63</v>
      </c>
      <c r="I2410" s="156">
        <v>61405.81</v>
      </c>
      <c r="J2410" s="156">
        <v>0</v>
      </c>
      <c r="K2410" s="131">
        <f t="shared" si="164"/>
        <v>61570.439999999995</v>
      </c>
      <c r="L2410" s="134">
        <v>0.1792</v>
      </c>
    </row>
    <row r="2411" spans="3:12">
      <c r="C2411" s="161">
        <f t="shared" si="162"/>
        <v>2018</v>
      </c>
      <c r="D2411" s="35" t="s">
        <v>296</v>
      </c>
      <c r="E2411" s="227">
        <v>43160</v>
      </c>
      <c r="F2411" s="156">
        <v>34174.550000000003</v>
      </c>
      <c r="G2411" s="131">
        <f t="shared" si="163"/>
        <v>6124.0793600000006</v>
      </c>
      <c r="H2411" s="156">
        <v>0</v>
      </c>
      <c r="I2411" s="156">
        <v>0</v>
      </c>
      <c r="J2411" s="156">
        <v>0</v>
      </c>
      <c r="K2411" s="131">
        <f t="shared" si="164"/>
        <v>0</v>
      </c>
      <c r="L2411" s="134">
        <v>0.1792</v>
      </c>
    </row>
    <row r="2412" spans="3:12">
      <c r="C2412" s="161">
        <f t="shared" si="162"/>
        <v>2018</v>
      </c>
      <c r="D2412" s="35" t="s">
        <v>296</v>
      </c>
      <c r="E2412" s="227">
        <v>43191</v>
      </c>
      <c r="F2412" s="156">
        <v>36172.43</v>
      </c>
      <c r="G2412" s="131">
        <f t="shared" si="163"/>
        <v>6482.0994559999999</v>
      </c>
      <c r="H2412" s="156">
        <v>0</v>
      </c>
      <c r="I2412" s="156">
        <v>6497.42</v>
      </c>
      <c r="J2412" s="156">
        <v>0</v>
      </c>
      <c r="K2412" s="131">
        <f t="shared" si="164"/>
        <v>6497.42</v>
      </c>
      <c r="L2412" s="134">
        <v>0.1792</v>
      </c>
    </row>
    <row r="2413" spans="3:12">
      <c r="C2413" s="161">
        <f t="shared" si="162"/>
        <v>2018</v>
      </c>
      <c r="D2413" s="35" t="s">
        <v>296</v>
      </c>
      <c r="E2413" s="227">
        <v>43221</v>
      </c>
      <c r="F2413" s="156">
        <v>37175.69</v>
      </c>
      <c r="G2413" s="131">
        <f t="shared" si="163"/>
        <v>6661.883648</v>
      </c>
      <c r="H2413" s="156">
        <v>65.36</v>
      </c>
      <c r="I2413" s="156">
        <v>0</v>
      </c>
      <c r="J2413" s="156">
        <v>0</v>
      </c>
      <c r="K2413" s="131">
        <f t="shared" si="164"/>
        <v>65.36</v>
      </c>
      <c r="L2413" s="134">
        <v>0.1792</v>
      </c>
    </row>
    <row r="2414" spans="3:12">
      <c r="C2414" s="161">
        <f t="shared" si="162"/>
        <v>2018</v>
      </c>
      <c r="D2414" s="35" t="s">
        <v>296</v>
      </c>
      <c r="E2414" s="227">
        <v>43252</v>
      </c>
      <c r="F2414" s="156">
        <v>31956.95</v>
      </c>
      <c r="G2414" s="131">
        <f t="shared" si="163"/>
        <v>5726.6854400000002</v>
      </c>
      <c r="H2414" s="156">
        <v>136.43</v>
      </c>
      <c r="I2414" s="156">
        <v>31122.61</v>
      </c>
      <c r="J2414" s="156">
        <v>0</v>
      </c>
      <c r="K2414" s="131">
        <f t="shared" si="164"/>
        <v>31259.040000000001</v>
      </c>
      <c r="L2414" s="134">
        <v>0.1792</v>
      </c>
    </row>
    <row r="2415" spans="3:12">
      <c r="C2415" s="161">
        <f t="shared" si="162"/>
        <v>2018</v>
      </c>
      <c r="D2415" s="35" t="s">
        <v>296</v>
      </c>
      <c r="E2415" s="227">
        <v>43282</v>
      </c>
      <c r="F2415" s="156">
        <v>33535.39</v>
      </c>
      <c r="G2415" s="131">
        <f t="shared" si="163"/>
        <v>6009.5418879999997</v>
      </c>
      <c r="H2415" s="156">
        <v>161.68</v>
      </c>
      <c r="I2415" s="156">
        <v>0</v>
      </c>
      <c r="J2415" s="156">
        <v>0</v>
      </c>
      <c r="K2415" s="131">
        <f t="shared" si="164"/>
        <v>161.68</v>
      </c>
      <c r="L2415" s="134">
        <v>0.1792</v>
      </c>
    </row>
    <row r="2416" spans="3:12">
      <c r="C2416" s="161">
        <f t="shared" si="162"/>
        <v>2018</v>
      </c>
      <c r="D2416" s="35" t="s">
        <v>296</v>
      </c>
      <c r="E2416" s="227">
        <v>43313</v>
      </c>
      <c r="F2416" s="156">
        <v>32672.22</v>
      </c>
      <c r="G2416" s="131">
        <f t="shared" si="163"/>
        <v>5854.8618240000005</v>
      </c>
      <c r="H2416" s="156">
        <v>53.9</v>
      </c>
      <c r="I2416" s="156">
        <v>8038.8</v>
      </c>
      <c r="J2416" s="156">
        <v>0</v>
      </c>
      <c r="K2416" s="131">
        <f t="shared" si="164"/>
        <v>8092.7</v>
      </c>
      <c r="L2416" s="134">
        <v>0.1792</v>
      </c>
    </row>
    <row r="2417" spans="3:12">
      <c r="C2417" s="161">
        <f t="shared" si="162"/>
        <v>2018</v>
      </c>
      <c r="D2417" s="35" t="s">
        <v>296</v>
      </c>
      <c r="E2417" s="227">
        <v>43344</v>
      </c>
      <c r="F2417" s="156">
        <v>37801.589999999997</v>
      </c>
      <c r="G2417" s="131">
        <f t="shared" si="163"/>
        <v>6774.0449279999993</v>
      </c>
      <c r="H2417" s="156">
        <v>7530.43</v>
      </c>
      <c r="I2417" s="156">
        <v>0</v>
      </c>
      <c r="J2417" s="156">
        <v>0</v>
      </c>
      <c r="K2417" s="131">
        <f t="shared" si="164"/>
        <v>7530.43</v>
      </c>
      <c r="L2417" s="134">
        <v>0.1792</v>
      </c>
    </row>
    <row r="2418" spans="3:12">
      <c r="C2418" s="161">
        <f t="shared" si="162"/>
        <v>2018</v>
      </c>
      <c r="D2418" s="35" t="s">
        <v>296</v>
      </c>
      <c r="E2418" s="227">
        <v>43374</v>
      </c>
      <c r="F2418" s="156">
        <v>33885.64</v>
      </c>
      <c r="G2418" s="131">
        <f t="shared" si="163"/>
        <v>6072.3066879999997</v>
      </c>
      <c r="H2418" s="156">
        <v>0</v>
      </c>
      <c r="I2418" s="156">
        <v>0</v>
      </c>
      <c r="J2418" s="156">
        <v>0</v>
      </c>
      <c r="K2418" s="131">
        <f t="shared" si="164"/>
        <v>0</v>
      </c>
      <c r="L2418" s="134">
        <v>0.1792</v>
      </c>
    </row>
    <row r="2419" spans="3:12">
      <c r="C2419" s="161">
        <f t="shared" si="162"/>
        <v>2018</v>
      </c>
      <c r="D2419" s="35" t="s">
        <v>296</v>
      </c>
      <c r="E2419" s="227">
        <v>43405</v>
      </c>
      <c r="F2419" s="156">
        <v>36518.335424999997</v>
      </c>
      <c r="G2419" s="131">
        <f t="shared" si="163"/>
        <v>6544.0857081599997</v>
      </c>
      <c r="H2419" s="156">
        <v>2858.33</v>
      </c>
      <c r="I2419" s="156">
        <v>0</v>
      </c>
      <c r="J2419" s="156">
        <v>0</v>
      </c>
      <c r="K2419" s="131">
        <f t="shared" si="164"/>
        <v>2858.33</v>
      </c>
      <c r="L2419" s="134">
        <v>0.1792</v>
      </c>
    </row>
    <row r="2420" spans="3:12">
      <c r="C2420" s="161">
        <f t="shared" si="162"/>
        <v>2018</v>
      </c>
      <c r="D2420" s="35" t="s">
        <v>296</v>
      </c>
      <c r="E2420" s="227">
        <v>43435</v>
      </c>
      <c r="F2420" s="156">
        <v>40907.9</v>
      </c>
      <c r="G2420" s="131">
        <f t="shared" si="163"/>
        <v>7330.6956799999998</v>
      </c>
      <c r="H2420" s="156">
        <v>6013.5</v>
      </c>
      <c r="I2420" s="156" t="s">
        <v>267</v>
      </c>
      <c r="J2420" s="156" t="s">
        <v>267</v>
      </c>
      <c r="K2420" s="131">
        <f t="shared" si="164"/>
        <v>6013.5</v>
      </c>
      <c r="L2420" s="134">
        <v>0.1792</v>
      </c>
    </row>
    <row r="2421" spans="3:12">
      <c r="C2421" s="161">
        <f t="shared" si="162"/>
        <v>2019</v>
      </c>
      <c r="D2421" s="35" t="s">
        <v>296</v>
      </c>
      <c r="E2421" s="227">
        <v>43466</v>
      </c>
      <c r="F2421" s="156">
        <v>38600.410000000003</v>
      </c>
      <c r="G2421" s="131">
        <f t="shared" si="163"/>
        <v>6917.1934720000008</v>
      </c>
      <c r="H2421" s="156">
        <v>0</v>
      </c>
      <c r="I2421" s="156">
        <v>0</v>
      </c>
      <c r="J2421" s="156">
        <v>1138.75</v>
      </c>
      <c r="K2421" s="131">
        <f t="shared" si="164"/>
        <v>1138.75</v>
      </c>
      <c r="L2421" s="134">
        <v>0.1792</v>
      </c>
    </row>
    <row r="2422" spans="3:12">
      <c r="C2422" s="161">
        <f t="shared" si="162"/>
        <v>2019</v>
      </c>
      <c r="D2422" s="35" t="s">
        <v>296</v>
      </c>
      <c r="E2422" s="227">
        <v>43497</v>
      </c>
      <c r="F2422" s="156">
        <v>39009.629999999997</v>
      </c>
      <c r="G2422" s="131">
        <f t="shared" si="163"/>
        <v>6990.5256959999997</v>
      </c>
      <c r="H2422" s="156">
        <v>84.72</v>
      </c>
      <c r="I2422" s="156">
        <v>9565.34</v>
      </c>
      <c r="J2422" s="156">
        <v>0</v>
      </c>
      <c r="K2422" s="131">
        <f t="shared" si="164"/>
        <v>9650.06</v>
      </c>
      <c r="L2422" s="134">
        <v>0.1792</v>
      </c>
    </row>
    <row r="2423" spans="3:12">
      <c r="C2423" s="161">
        <f t="shared" si="162"/>
        <v>2019</v>
      </c>
      <c r="D2423" s="35" t="s">
        <v>296</v>
      </c>
      <c r="E2423" s="227">
        <v>43525</v>
      </c>
      <c r="F2423" s="156">
        <v>32835.61</v>
      </c>
      <c r="G2423" s="131">
        <f t="shared" si="163"/>
        <v>5884.1413119999997</v>
      </c>
      <c r="H2423" s="156">
        <v>0</v>
      </c>
      <c r="I2423" s="156">
        <v>0</v>
      </c>
      <c r="J2423" s="156">
        <v>0</v>
      </c>
      <c r="K2423" s="131">
        <f t="shared" si="164"/>
        <v>0</v>
      </c>
      <c r="L2423" s="134">
        <v>0.1792</v>
      </c>
    </row>
    <row r="2424" spans="3:12">
      <c r="C2424" s="161">
        <f t="shared" si="162"/>
        <v>2019</v>
      </c>
      <c r="D2424" s="35" t="s">
        <v>296</v>
      </c>
      <c r="E2424" s="227">
        <v>43556</v>
      </c>
      <c r="F2424" s="156">
        <v>37772.050000000003</v>
      </c>
      <c r="G2424" s="131">
        <f t="shared" si="163"/>
        <v>6768.7513600000002</v>
      </c>
      <c r="H2424" s="156">
        <v>0</v>
      </c>
      <c r="I2424" s="156">
        <v>0</v>
      </c>
      <c r="J2424" s="156">
        <v>1041.01</v>
      </c>
      <c r="K2424" s="131">
        <f t="shared" si="164"/>
        <v>1041.01</v>
      </c>
      <c r="L2424" s="134">
        <v>0.1792</v>
      </c>
    </row>
    <row r="2425" spans="3:12">
      <c r="C2425" s="161">
        <f t="shared" si="162"/>
        <v>2019</v>
      </c>
      <c r="D2425" s="35" t="s">
        <v>296</v>
      </c>
      <c r="E2425" s="227">
        <v>43586</v>
      </c>
      <c r="F2425" s="156">
        <v>34102.79</v>
      </c>
      <c r="G2425" s="131">
        <f t="shared" si="163"/>
        <v>6111.2199680000003</v>
      </c>
      <c r="H2425" s="156">
        <v>2249.16</v>
      </c>
      <c r="I2425" s="156">
        <v>0</v>
      </c>
      <c r="J2425" s="156">
        <v>0</v>
      </c>
      <c r="K2425" s="131">
        <f t="shared" si="164"/>
        <v>2249.16</v>
      </c>
      <c r="L2425" s="134">
        <v>0.1792</v>
      </c>
    </row>
    <row r="2426" spans="3:12">
      <c r="C2426" s="161">
        <f t="shared" si="162"/>
        <v>2019</v>
      </c>
      <c r="D2426" s="35" t="s">
        <v>296</v>
      </c>
      <c r="E2426" s="227">
        <v>43617</v>
      </c>
      <c r="F2426" s="156">
        <v>35161.31</v>
      </c>
      <c r="G2426" s="131">
        <f t="shared" si="163"/>
        <v>6300.9067519999999</v>
      </c>
      <c r="H2426" s="156">
        <v>116.56</v>
      </c>
      <c r="I2426" s="156">
        <v>128.03</v>
      </c>
      <c r="J2426" s="156">
        <v>0</v>
      </c>
      <c r="K2426" s="131">
        <f t="shared" si="164"/>
        <v>244.59</v>
      </c>
      <c r="L2426" s="134">
        <v>0.1792</v>
      </c>
    </row>
    <row r="2427" spans="3:12">
      <c r="C2427" s="161">
        <f t="shared" si="162"/>
        <v>2019</v>
      </c>
      <c r="D2427" s="35" t="s">
        <v>296</v>
      </c>
      <c r="E2427" s="227">
        <v>43647</v>
      </c>
      <c r="F2427" s="156">
        <v>33938.839999999997</v>
      </c>
      <c r="G2427" s="131">
        <f t="shared" si="163"/>
        <v>6081.8401279999989</v>
      </c>
      <c r="H2427" s="156">
        <v>315.86</v>
      </c>
      <c r="I2427" s="156">
        <v>0</v>
      </c>
      <c r="J2427" s="156">
        <v>0</v>
      </c>
      <c r="K2427" s="131">
        <f t="shared" si="164"/>
        <v>315.86</v>
      </c>
      <c r="L2427" s="134">
        <v>0.1792</v>
      </c>
    </row>
    <row r="2428" spans="3:12">
      <c r="C2428" s="161">
        <f t="shared" si="162"/>
        <v>2019</v>
      </c>
      <c r="D2428" s="35" t="s">
        <v>296</v>
      </c>
      <c r="E2428" s="227">
        <v>43678</v>
      </c>
      <c r="F2428" s="156">
        <v>38560.46</v>
      </c>
      <c r="G2428" s="131">
        <f t="shared" si="163"/>
        <v>6910.0344319999995</v>
      </c>
      <c r="H2428" s="156">
        <v>0</v>
      </c>
      <c r="I2428" s="156">
        <v>0</v>
      </c>
      <c r="J2428" s="156">
        <v>0</v>
      </c>
      <c r="K2428" s="131">
        <f t="shared" si="164"/>
        <v>0</v>
      </c>
      <c r="L2428" s="134">
        <v>0.1792</v>
      </c>
    </row>
    <row r="2429" spans="3:12">
      <c r="C2429" s="161">
        <f t="shared" si="162"/>
        <v>2019</v>
      </c>
      <c r="D2429" s="35" t="s">
        <v>296</v>
      </c>
      <c r="E2429" s="227">
        <v>43709</v>
      </c>
      <c r="F2429" s="156">
        <v>42873.88</v>
      </c>
      <c r="G2429" s="131">
        <f t="shared" si="163"/>
        <v>7682.999295999999</v>
      </c>
      <c r="H2429" s="156">
        <v>111.76</v>
      </c>
      <c r="I2429" s="156">
        <v>60271.94</v>
      </c>
      <c r="J2429" s="156">
        <v>0</v>
      </c>
      <c r="K2429" s="131">
        <f t="shared" si="164"/>
        <v>60383.700000000004</v>
      </c>
      <c r="L2429" s="134">
        <v>0.1792</v>
      </c>
    </row>
    <row r="2430" spans="3:12">
      <c r="C2430" s="161">
        <f t="shared" si="162"/>
        <v>2019</v>
      </c>
      <c r="D2430" s="35" t="s">
        <v>296</v>
      </c>
      <c r="E2430" s="227">
        <v>43739</v>
      </c>
      <c r="F2430" s="156">
        <v>40478.85</v>
      </c>
      <c r="G2430" s="131">
        <f t="shared" si="163"/>
        <v>7253.8099199999997</v>
      </c>
      <c r="H2430" s="156">
        <v>161.88</v>
      </c>
      <c r="I2430" s="156">
        <v>-2425.1799999999998</v>
      </c>
      <c r="J2430" s="156">
        <v>0</v>
      </c>
      <c r="K2430" s="131">
        <f t="shared" si="164"/>
        <v>-2263.2999999999997</v>
      </c>
      <c r="L2430" s="134">
        <v>0.1792</v>
      </c>
    </row>
    <row r="2431" spans="3:12">
      <c r="C2431" s="161">
        <f t="shared" si="162"/>
        <v>2019</v>
      </c>
      <c r="D2431" s="35" t="s">
        <v>296</v>
      </c>
      <c r="E2431" s="227">
        <v>43770</v>
      </c>
      <c r="F2431" s="156">
        <v>44960.800000000003</v>
      </c>
      <c r="G2431" s="131">
        <f t="shared" si="163"/>
        <v>8056.9753600000004</v>
      </c>
      <c r="H2431" s="156">
        <v>9000</v>
      </c>
      <c r="I2431" s="156">
        <v>12779.84</v>
      </c>
      <c r="J2431" s="156">
        <v>0</v>
      </c>
      <c r="K2431" s="131">
        <f t="shared" si="164"/>
        <v>21779.84</v>
      </c>
      <c r="L2431" s="134">
        <v>0.1792</v>
      </c>
    </row>
    <row r="2432" spans="3:12">
      <c r="C2432" s="161">
        <f t="shared" si="162"/>
        <v>2019</v>
      </c>
      <c r="D2432" s="35" t="s">
        <v>296</v>
      </c>
      <c r="E2432" s="227">
        <v>43800</v>
      </c>
      <c r="F2432" s="156">
        <v>39816.54</v>
      </c>
      <c r="G2432" s="131">
        <f t="shared" si="163"/>
        <v>7135.1239679999999</v>
      </c>
      <c r="H2432" s="156">
        <v>5779.83</v>
      </c>
      <c r="I2432" s="156">
        <v>0</v>
      </c>
      <c r="J2432" s="156">
        <v>0</v>
      </c>
      <c r="K2432" s="131">
        <f t="shared" si="164"/>
        <v>5779.83</v>
      </c>
      <c r="L2432" s="134">
        <v>0.1792</v>
      </c>
    </row>
    <row r="2433" spans="3:12">
      <c r="C2433" s="161">
        <f t="shared" si="162"/>
        <v>2020</v>
      </c>
      <c r="D2433" s="35" t="s">
        <v>296</v>
      </c>
      <c r="E2433" s="227">
        <v>43831</v>
      </c>
      <c r="F2433" s="156">
        <v>42685.11</v>
      </c>
      <c r="G2433" s="131">
        <f t="shared" si="163"/>
        <v>7649.1717120000003</v>
      </c>
      <c r="H2433" s="156">
        <v>178946.66</v>
      </c>
      <c r="I2433" s="156">
        <v>0</v>
      </c>
      <c r="J2433" s="156">
        <v>0</v>
      </c>
      <c r="K2433" s="131">
        <f t="shared" si="164"/>
        <v>178946.66</v>
      </c>
      <c r="L2433" s="134">
        <v>0.1792</v>
      </c>
    </row>
    <row r="2434" spans="3:12">
      <c r="C2434" s="161">
        <f t="shared" si="162"/>
        <v>2020</v>
      </c>
      <c r="D2434" s="35" t="s">
        <v>296</v>
      </c>
      <c r="E2434" s="227">
        <v>43862</v>
      </c>
      <c r="F2434" s="156">
        <v>39721.870000000003</v>
      </c>
      <c r="G2434" s="131">
        <f t="shared" si="163"/>
        <v>7118.1591040000003</v>
      </c>
      <c r="H2434" s="156">
        <v>0</v>
      </c>
      <c r="I2434" s="156">
        <v>0</v>
      </c>
      <c r="J2434" s="156">
        <v>0</v>
      </c>
      <c r="K2434" s="131">
        <f t="shared" si="164"/>
        <v>0</v>
      </c>
      <c r="L2434" s="134">
        <v>0.1792</v>
      </c>
    </row>
    <row r="2435" spans="3:12">
      <c r="C2435" s="161">
        <f t="shared" si="162"/>
        <v>2020</v>
      </c>
      <c r="D2435" s="35" t="s">
        <v>296</v>
      </c>
      <c r="E2435" s="227">
        <v>43891</v>
      </c>
      <c r="F2435" s="156">
        <v>41889.846075000001</v>
      </c>
      <c r="G2435" s="131">
        <f t="shared" si="163"/>
        <v>7506.6604166400002</v>
      </c>
      <c r="H2435" s="156">
        <v>5888.9</v>
      </c>
      <c r="I2435" s="156">
        <v>27854.28</v>
      </c>
      <c r="J2435" s="156">
        <v>0</v>
      </c>
      <c r="K2435" s="131">
        <f t="shared" si="164"/>
        <v>33743.18</v>
      </c>
      <c r="L2435" s="134">
        <v>0.1792</v>
      </c>
    </row>
    <row r="2436" spans="3:12">
      <c r="C2436" s="161">
        <f t="shared" ref="C2436:C2499" si="165">YEAR(E2436)</f>
        <v>2020</v>
      </c>
      <c r="D2436" s="35" t="s">
        <v>296</v>
      </c>
      <c r="E2436" s="227">
        <v>43922</v>
      </c>
      <c r="F2436" s="156">
        <v>38977.188524999998</v>
      </c>
      <c r="G2436" s="131">
        <f t="shared" ref="G2436:G2499" si="166">F2436*L2436</f>
        <v>6984.7121836799997</v>
      </c>
      <c r="H2436" s="156">
        <v>559.97</v>
      </c>
      <c r="I2436" s="156">
        <v>0</v>
      </c>
      <c r="J2436" s="156">
        <v>0</v>
      </c>
      <c r="K2436" s="131">
        <f t="shared" ref="K2436:K2499" si="167">SUM(H2436:J2436)</f>
        <v>559.97</v>
      </c>
      <c r="L2436" s="134">
        <v>0.1792</v>
      </c>
    </row>
    <row r="2437" spans="3:12">
      <c r="C2437" s="161">
        <f t="shared" si="165"/>
        <v>2020</v>
      </c>
      <c r="D2437" s="35" t="s">
        <v>296</v>
      </c>
      <c r="E2437" s="227">
        <v>43952</v>
      </c>
      <c r="F2437" s="156">
        <v>36168.589999999997</v>
      </c>
      <c r="G2437" s="131">
        <f t="shared" si="166"/>
        <v>6481.4113279999992</v>
      </c>
      <c r="H2437" s="156">
        <v>0</v>
      </c>
      <c r="I2437" s="156">
        <v>0</v>
      </c>
      <c r="J2437" s="156">
        <v>1899.52</v>
      </c>
      <c r="K2437" s="131">
        <f t="shared" si="167"/>
        <v>1899.52</v>
      </c>
      <c r="L2437" s="134">
        <v>0.1792</v>
      </c>
    </row>
    <row r="2438" spans="3:12">
      <c r="C2438" s="161">
        <f t="shared" si="165"/>
        <v>2020</v>
      </c>
      <c r="D2438" s="35" t="s">
        <v>296</v>
      </c>
      <c r="E2438" s="227">
        <v>43983</v>
      </c>
      <c r="F2438" s="156">
        <v>39884.019999999997</v>
      </c>
      <c r="G2438" s="131">
        <f t="shared" si="166"/>
        <v>7147.2163839999994</v>
      </c>
      <c r="H2438" s="156">
        <v>3011.98</v>
      </c>
      <c r="I2438" s="156">
        <v>5014.72</v>
      </c>
      <c r="J2438" s="156">
        <v>0</v>
      </c>
      <c r="K2438" s="131">
        <f t="shared" si="167"/>
        <v>8026.7000000000007</v>
      </c>
      <c r="L2438" s="134">
        <v>0.1792</v>
      </c>
    </row>
    <row r="2439" spans="3:12">
      <c r="C2439" s="161">
        <f t="shared" si="165"/>
        <v>2020</v>
      </c>
      <c r="D2439" s="35" t="s">
        <v>296</v>
      </c>
      <c r="E2439" s="227">
        <v>44013</v>
      </c>
      <c r="F2439" s="156">
        <v>39601.96</v>
      </c>
      <c r="G2439" s="131">
        <f t="shared" si="166"/>
        <v>7096.6712319999997</v>
      </c>
      <c r="H2439" s="156">
        <v>142.22</v>
      </c>
      <c r="I2439" s="156">
        <v>552788.73</v>
      </c>
      <c r="J2439" s="156">
        <v>0</v>
      </c>
      <c r="K2439" s="131">
        <f t="shared" si="167"/>
        <v>552930.94999999995</v>
      </c>
      <c r="L2439" s="134">
        <v>0.1792</v>
      </c>
    </row>
    <row r="2440" spans="3:12">
      <c r="C2440" s="161">
        <f t="shared" si="165"/>
        <v>2020</v>
      </c>
      <c r="D2440" s="35" t="s">
        <v>296</v>
      </c>
      <c r="E2440" s="227">
        <v>44044</v>
      </c>
      <c r="F2440" s="156">
        <v>42162.93</v>
      </c>
      <c r="G2440" s="131">
        <f t="shared" si="166"/>
        <v>7555.5970559999996</v>
      </c>
      <c r="H2440" s="156">
        <v>231.13</v>
      </c>
      <c r="I2440" s="156">
        <v>482215.83</v>
      </c>
      <c r="J2440" s="156">
        <v>0</v>
      </c>
      <c r="K2440" s="131">
        <f t="shared" si="167"/>
        <v>482446.96</v>
      </c>
      <c r="L2440" s="134">
        <v>0.1792</v>
      </c>
    </row>
    <row r="2441" spans="3:12">
      <c r="C2441" s="161">
        <f t="shared" si="165"/>
        <v>2020</v>
      </c>
      <c r="D2441" s="35" t="s">
        <v>296</v>
      </c>
      <c r="E2441" s="227">
        <v>44075</v>
      </c>
      <c r="F2441" s="156">
        <v>46999.519999999997</v>
      </c>
      <c r="G2441" s="131">
        <f t="shared" si="166"/>
        <v>8422.3139839999985</v>
      </c>
      <c r="H2441" s="156">
        <v>107.11</v>
      </c>
      <c r="I2441" s="156">
        <v>43924.31</v>
      </c>
      <c r="J2441" s="156">
        <v>0</v>
      </c>
      <c r="K2441" s="131">
        <f t="shared" si="167"/>
        <v>44031.42</v>
      </c>
      <c r="L2441" s="134">
        <v>0.1792</v>
      </c>
    </row>
    <row r="2442" spans="3:12">
      <c r="C2442" s="161">
        <f t="shared" si="165"/>
        <v>2020</v>
      </c>
      <c r="D2442" s="35" t="s">
        <v>296</v>
      </c>
      <c r="E2442" s="227">
        <v>44105</v>
      </c>
      <c r="F2442" s="156">
        <v>50916.95</v>
      </c>
      <c r="G2442" s="131">
        <f t="shared" si="166"/>
        <v>9124.3174399999989</v>
      </c>
      <c r="H2442" s="156">
        <v>9887.23</v>
      </c>
      <c r="I2442" s="156">
        <v>205714.77</v>
      </c>
      <c r="J2442" s="156">
        <v>0</v>
      </c>
      <c r="K2442" s="131">
        <f t="shared" si="167"/>
        <v>215602</v>
      </c>
      <c r="L2442" s="134">
        <v>0.1792</v>
      </c>
    </row>
    <row r="2443" spans="3:12">
      <c r="C2443" s="161">
        <f t="shared" si="165"/>
        <v>2020</v>
      </c>
      <c r="D2443" s="35" t="s">
        <v>296</v>
      </c>
      <c r="E2443" s="227">
        <v>44136</v>
      </c>
      <c r="F2443" s="156">
        <v>47771.32</v>
      </c>
      <c r="G2443" s="131">
        <f t="shared" si="166"/>
        <v>8560.6205439999994</v>
      </c>
      <c r="H2443" s="156">
        <v>0</v>
      </c>
      <c r="I2443" s="156">
        <v>7947.75</v>
      </c>
      <c r="J2443" s="156">
        <v>0</v>
      </c>
      <c r="K2443" s="131">
        <f t="shared" si="167"/>
        <v>7947.75</v>
      </c>
      <c r="L2443" s="134">
        <v>0.1792</v>
      </c>
    </row>
    <row r="2444" spans="3:12">
      <c r="C2444" s="161">
        <f t="shared" si="165"/>
        <v>2020</v>
      </c>
      <c r="D2444" s="35" t="s">
        <v>296</v>
      </c>
      <c r="E2444" s="227">
        <v>44166</v>
      </c>
      <c r="F2444" s="156">
        <v>49304.88</v>
      </c>
      <c r="G2444" s="131">
        <f t="shared" si="166"/>
        <v>8835.4344959999999</v>
      </c>
      <c r="H2444" s="156">
        <v>216.92</v>
      </c>
      <c r="I2444" s="156">
        <v>660889.49</v>
      </c>
      <c r="J2444" s="156">
        <v>0</v>
      </c>
      <c r="K2444" s="131">
        <f t="shared" si="167"/>
        <v>661106.41</v>
      </c>
      <c r="L2444" s="134">
        <v>0.1792</v>
      </c>
    </row>
    <row r="2445" spans="3:12">
      <c r="C2445" s="161">
        <f t="shared" si="165"/>
        <v>2021</v>
      </c>
      <c r="D2445" s="35" t="s">
        <v>296</v>
      </c>
      <c r="E2445" s="227">
        <v>44197</v>
      </c>
      <c r="F2445" s="156">
        <v>50773.53</v>
      </c>
      <c r="G2445" s="131">
        <f t="shared" si="166"/>
        <v>9098.6165760000004</v>
      </c>
      <c r="H2445" s="156">
        <v>53.09</v>
      </c>
      <c r="I2445" s="156">
        <v>24570.57</v>
      </c>
      <c r="J2445" s="156">
        <v>0</v>
      </c>
      <c r="K2445" s="131">
        <f t="shared" si="167"/>
        <v>24623.66</v>
      </c>
      <c r="L2445" s="134">
        <v>0.1792</v>
      </c>
    </row>
    <row r="2446" spans="3:12">
      <c r="C2446" s="161">
        <f t="shared" si="165"/>
        <v>2021</v>
      </c>
      <c r="D2446" s="35" t="s">
        <v>296</v>
      </c>
      <c r="E2446" s="227">
        <v>44229</v>
      </c>
      <c r="F2446" s="156">
        <v>48812.71</v>
      </c>
      <c r="G2446" s="131">
        <f t="shared" si="166"/>
        <v>8747.2376320000003</v>
      </c>
      <c r="H2446" s="156">
        <v>0</v>
      </c>
      <c r="I2446" s="156">
        <v>12892.62</v>
      </c>
      <c r="J2446" s="156">
        <v>0</v>
      </c>
      <c r="K2446" s="131">
        <f t="shared" si="167"/>
        <v>12892.62</v>
      </c>
      <c r="L2446" s="134">
        <v>0.1792</v>
      </c>
    </row>
    <row r="2447" spans="3:12">
      <c r="C2447" s="161">
        <f t="shared" si="165"/>
        <v>2021</v>
      </c>
      <c r="D2447" s="35" t="s">
        <v>296</v>
      </c>
      <c r="E2447" s="227">
        <v>44258</v>
      </c>
      <c r="F2447" s="156">
        <v>51035.89</v>
      </c>
      <c r="G2447" s="131">
        <f t="shared" si="166"/>
        <v>9145.6314879999991</v>
      </c>
      <c r="H2447" s="156">
        <v>0</v>
      </c>
      <c r="I2447" s="156">
        <v>28004.62</v>
      </c>
      <c r="J2447" s="156">
        <v>0</v>
      </c>
      <c r="K2447" s="131">
        <f t="shared" si="167"/>
        <v>28004.62</v>
      </c>
      <c r="L2447" s="134">
        <v>0.1792</v>
      </c>
    </row>
    <row r="2448" spans="3:12">
      <c r="C2448" s="161">
        <f t="shared" si="165"/>
        <v>2021</v>
      </c>
      <c r="D2448" s="35" t="s">
        <v>296</v>
      </c>
      <c r="E2448" s="227">
        <v>44290</v>
      </c>
      <c r="F2448" s="156">
        <v>53877.66</v>
      </c>
      <c r="G2448" s="131">
        <f t="shared" si="166"/>
        <v>9654.8766720000003</v>
      </c>
      <c r="H2448" s="156">
        <v>222.8</v>
      </c>
      <c r="I2448" s="156">
        <v>14255.3</v>
      </c>
      <c r="J2448" s="156">
        <v>0</v>
      </c>
      <c r="K2448" s="131">
        <f t="shared" si="167"/>
        <v>14478.099999999999</v>
      </c>
      <c r="L2448" s="134">
        <v>0.1792</v>
      </c>
    </row>
    <row r="2449" spans="3:12">
      <c r="C2449" s="161">
        <f t="shared" si="165"/>
        <v>2021</v>
      </c>
      <c r="D2449" s="35" t="s">
        <v>296</v>
      </c>
      <c r="E2449" s="227">
        <v>44321</v>
      </c>
      <c r="F2449" s="156">
        <v>47927.5</v>
      </c>
      <c r="G2449" s="131">
        <f t="shared" si="166"/>
        <v>8588.6080000000002</v>
      </c>
      <c r="H2449" s="156">
        <v>53.09</v>
      </c>
      <c r="I2449" s="156">
        <v>12958.15</v>
      </c>
      <c r="J2449" s="156">
        <v>0</v>
      </c>
      <c r="K2449" s="131">
        <f t="shared" si="167"/>
        <v>13011.24</v>
      </c>
      <c r="L2449" s="134">
        <v>0.1792</v>
      </c>
    </row>
    <row r="2450" spans="3:12">
      <c r="C2450" s="161">
        <f t="shared" si="165"/>
        <v>2021</v>
      </c>
      <c r="D2450" s="35" t="s">
        <v>296</v>
      </c>
      <c r="E2450" s="227">
        <v>44353</v>
      </c>
      <c r="F2450" s="156">
        <v>50733.04</v>
      </c>
      <c r="G2450" s="131">
        <f t="shared" si="166"/>
        <v>9091.3607680000005</v>
      </c>
      <c r="H2450" s="156">
        <v>159.27000000000001</v>
      </c>
      <c r="I2450" s="156">
        <v>12931.21</v>
      </c>
      <c r="J2450" s="156">
        <v>0</v>
      </c>
      <c r="K2450" s="131">
        <f t="shared" si="167"/>
        <v>13090.48</v>
      </c>
      <c r="L2450" s="134">
        <v>0.1792</v>
      </c>
    </row>
    <row r="2451" spans="3:12">
      <c r="C2451" s="161">
        <f t="shared" si="165"/>
        <v>2015</v>
      </c>
      <c r="D2451" s="35" t="s">
        <v>297</v>
      </c>
      <c r="E2451" s="227">
        <v>42309</v>
      </c>
      <c r="F2451" s="156">
        <v>643744.91692500003</v>
      </c>
      <c r="G2451" s="131">
        <f t="shared" si="166"/>
        <v>115359.08911296001</v>
      </c>
      <c r="H2451" s="156">
        <v>3851.59</v>
      </c>
      <c r="I2451" s="156">
        <v>20926.52</v>
      </c>
      <c r="J2451" s="156">
        <v>2610</v>
      </c>
      <c r="K2451" s="131">
        <f t="shared" si="167"/>
        <v>27388.11</v>
      </c>
      <c r="L2451" s="134">
        <v>0.1792</v>
      </c>
    </row>
    <row r="2452" spans="3:12">
      <c r="C2452" s="161">
        <f t="shared" si="165"/>
        <v>2015</v>
      </c>
      <c r="D2452" s="35" t="s">
        <v>297</v>
      </c>
      <c r="E2452" s="227">
        <v>42339</v>
      </c>
      <c r="F2452" s="156">
        <v>533205.58169999998</v>
      </c>
      <c r="G2452" s="131">
        <f t="shared" si="166"/>
        <v>95550.440240639989</v>
      </c>
      <c r="H2452" s="156">
        <v>3289.22</v>
      </c>
      <c r="I2452" s="156">
        <v>12132.41</v>
      </c>
      <c r="J2452" s="156">
        <v>0</v>
      </c>
      <c r="K2452" s="131">
        <f t="shared" si="167"/>
        <v>15421.63</v>
      </c>
      <c r="L2452" s="134">
        <v>0.1792</v>
      </c>
    </row>
    <row r="2453" spans="3:12">
      <c r="C2453" s="161">
        <f t="shared" si="165"/>
        <v>2016</v>
      </c>
      <c r="D2453" s="35" t="s">
        <v>297</v>
      </c>
      <c r="E2453" s="227">
        <v>42370</v>
      </c>
      <c r="F2453" s="156">
        <v>571470.81999999995</v>
      </c>
      <c r="G2453" s="131">
        <f t="shared" si="166"/>
        <v>102407.57094399999</v>
      </c>
      <c r="H2453" s="156">
        <v>3589.6</v>
      </c>
      <c r="I2453" s="156">
        <v>5829.76</v>
      </c>
      <c r="J2453" s="156">
        <v>0</v>
      </c>
      <c r="K2453" s="131">
        <f t="shared" si="167"/>
        <v>9419.36</v>
      </c>
      <c r="L2453" s="134">
        <v>0.1792</v>
      </c>
    </row>
    <row r="2454" spans="3:12">
      <c r="C2454" s="161">
        <f t="shared" si="165"/>
        <v>2016</v>
      </c>
      <c r="D2454" s="35" t="s">
        <v>297</v>
      </c>
      <c r="E2454" s="227">
        <v>42401</v>
      </c>
      <c r="F2454" s="156">
        <v>585309.82999999996</v>
      </c>
      <c r="G2454" s="131">
        <f t="shared" si="166"/>
        <v>104887.52153599999</v>
      </c>
      <c r="H2454" s="156">
        <v>5780.74</v>
      </c>
      <c r="I2454" s="156">
        <v>201331.06</v>
      </c>
      <c r="J2454" s="156">
        <v>0</v>
      </c>
      <c r="K2454" s="131">
        <f t="shared" si="167"/>
        <v>207111.8</v>
      </c>
      <c r="L2454" s="134">
        <v>0.1792</v>
      </c>
    </row>
    <row r="2455" spans="3:12">
      <c r="C2455" s="161">
        <f t="shared" si="165"/>
        <v>2016</v>
      </c>
      <c r="D2455" s="35" t="s">
        <v>297</v>
      </c>
      <c r="E2455" s="227">
        <v>42430</v>
      </c>
      <c r="F2455" s="156">
        <v>502438.7</v>
      </c>
      <c r="G2455" s="131">
        <f t="shared" si="166"/>
        <v>90037.015039999998</v>
      </c>
      <c r="H2455" s="156">
        <v>53090.31</v>
      </c>
      <c r="I2455" s="156">
        <v>18058.009999999998</v>
      </c>
      <c r="J2455" s="156">
        <v>0</v>
      </c>
      <c r="K2455" s="131">
        <f t="shared" si="167"/>
        <v>71148.319999999992</v>
      </c>
      <c r="L2455" s="134">
        <v>0.1792</v>
      </c>
    </row>
    <row r="2456" spans="3:12">
      <c r="C2456" s="161">
        <f t="shared" si="165"/>
        <v>2016</v>
      </c>
      <c r="D2456" s="35" t="s">
        <v>297</v>
      </c>
      <c r="E2456" s="227">
        <v>42461</v>
      </c>
      <c r="F2456" s="156">
        <v>565265.79</v>
      </c>
      <c r="G2456" s="131">
        <f t="shared" si="166"/>
        <v>101295.629568</v>
      </c>
      <c r="H2456" s="156">
        <v>199091.33</v>
      </c>
      <c r="I2456" s="156">
        <v>149239.19</v>
      </c>
      <c r="J2456" s="156">
        <v>0.01</v>
      </c>
      <c r="K2456" s="131">
        <f t="shared" si="167"/>
        <v>348330.53</v>
      </c>
      <c r="L2456" s="134">
        <v>0.1792</v>
      </c>
    </row>
    <row r="2457" spans="3:12">
      <c r="C2457" s="161">
        <f t="shared" si="165"/>
        <v>2016</v>
      </c>
      <c r="D2457" s="35" t="s">
        <v>297</v>
      </c>
      <c r="E2457" s="227">
        <v>42491</v>
      </c>
      <c r="F2457" s="156">
        <v>517290.2</v>
      </c>
      <c r="G2457" s="131">
        <f t="shared" si="166"/>
        <v>92698.403839999999</v>
      </c>
      <c r="H2457" s="156">
        <v>51197.99</v>
      </c>
      <c r="I2457" s="156">
        <v>211887.79</v>
      </c>
      <c r="J2457" s="156">
        <v>15795</v>
      </c>
      <c r="K2457" s="131">
        <f t="shared" si="167"/>
        <v>278880.78000000003</v>
      </c>
      <c r="L2457" s="134">
        <v>0.1792</v>
      </c>
    </row>
    <row r="2458" spans="3:12">
      <c r="C2458" s="161">
        <f t="shared" si="165"/>
        <v>2016</v>
      </c>
      <c r="D2458" s="35" t="s">
        <v>297</v>
      </c>
      <c r="E2458" s="227">
        <v>42522</v>
      </c>
      <c r="F2458" s="156">
        <v>495297.51</v>
      </c>
      <c r="G2458" s="131">
        <f t="shared" si="166"/>
        <v>88757.313792000001</v>
      </c>
      <c r="H2458" s="156">
        <v>466917.69</v>
      </c>
      <c r="I2458" s="156">
        <v>189151.61</v>
      </c>
      <c r="J2458" s="156">
        <v>44299.88</v>
      </c>
      <c r="K2458" s="131">
        <f t="shared" si="167"/>
        <v>700369.18</v>
      </c>
      <c r="L2458" s="134">
        <v>0.1792</v>
      </c>
    </row>
    <row r="2459" spans="3:12">
      <c r="C2459" s="161">
        <f t="shared" si="165"/>
        <v>2016</v>
      </c>
      <c r="D2459" s="35" t="s">
        <v>297</v>
      </c>
      <c r="E2459" s="227">
        <v>42552</v>
      </c>
      <c r="F2459" s="156">
        <v>573042.86</v>
      </c>
      <c r="G2459" s="131">
        <f t="shared" si="166"/>
        <v>102689.280512</v>
      </c>
      <c r="H2459" s="156">
        <v>334685.82</v>
      </c>
      <c r="I2459" s="156">
        <v>15062.88</v>
      </c>
      <c r="J2459" s="156">
        <v>670.28</v>
      </c>
      <c r="K2459" s="131">
        <f t="shared" si="167"/>
        <v>350418.98000000004</v>
      </c>
      <c r="L2459" s="134">
        <v>0.1792</v>
      </c>
    </row>
    <row r="2460" spans="3:12">
      <c r="C2460" s="161">
        <f t="shared" si="165"/>
        <v>2016</v>
      </c>
      <c r="D2460" s="35" t="s">
        <v>297</v>
      </c>
      <c r="E2460" s="227">
        <v>42583</v>
      </c>
      <c r="F2460" s="156">
        <v>552120.26</v>
      </c>
      <c r="G2460" s="131">
        <f t="shared" si="166"/>
        <v>98939.950591999994</v>
      </c>
      <c r="H2460" s="156">
        <v>8336.09</v>
      </c>
      <c r="I2460" s="156">
        <v>103647.73</v>
      </c>
      <c r="J2460" s="156">
        <v>0</v>
      </c>
      <c r="K2460" s="131">
        <f t="shared" si="167"/>
        <v>111983.81999999999</v>
      </c>
      <c r="L2460" s="134">
        <v>0.1792</v>
      </c>
    </row>
    <row r="2461" spans="3:12">
      <c r="C2461" s="161">
        <f t="shared" si="165"/>
        <v>2016</v>
      </c>
      <c r="D2461" s="35" t="s">
        <v>297</v>
      </c>
      <c r="E2461" s="227">
        <v>42614</v>
      </c>
      <c r="F2461" s="156">
        <v>557885.13</v>
      </c>
      <c r="G2461" s="131">
        <f t="shared" si="166"/>
        <v>99973.015295999998</v>
      </c>
      <c r="H2461" s="156">
        <v>243778.8</v>
      </c>
      <c r="I2461" s="156">
        <v>8559.74</v>
      </c>
      <c r="J2461" s="156">
        <v>0</v>
      </c>
      <c r="K2461" s="131">
        <f t="shared" si="167"/>
        <v>252338.53999999998</v>
      </c>
      <c r="L2461" s="134">
        <v>0.1792</v>
      </c>
    </row>
    <row r="2462" spans="3:12">
      <c r="C2462" s="161">
        <f t="shared" si="165"/>
        <v>2016</v>
      </c>
      <c r="D2462" s="35" t="s">
        <v>297</v>
      </c>
      <c r="E2462" s="227">
        <v>42644</v>
      </c>
      <c r="F2462" s="156">
        <v>577776.47</v>
      </c>
      <c r="G2462" s="131">
        <f t="shared" si="166"/>
        <v>103537.54342399999</v>
      </c>
      <c r="H2462" s="156">
        <v>18685.22</v>
      </c>
      <c r="I2462" s="156">
        <v>107607.5</v>
      </c>
      <c r="J2462" s="156">
        <v>18617</v>
      </c>
      <c r="K2462" s="131">
        <f t="shared" si="167"/>
        <v>144909.72</v>
      </c>
      <c r="L2462" s="134">
        <v>0.1792</v>
      </c>
    </row>
    <row r="2463" spans="3:12">
      <c r="C2463" s="161">
        <f t="shared" si="165"/>
        <v>2016</v>
      </c>
      <c r="D2463" s="35" t="s">
        <v>297</v>
      </c>
      <c r="E2463" s="227">
        <v>42675</v>
      </c>
      <c r="F2463" s="156">
        <v>608499.83122499997</v>
      </c>
      <c r="G2463" s="131">
        <f t="shared" si="166"/>
        <v>109043.16975551999</v>
      </c>
      <c r="H2463" s="156">
        <v>328663.82</v>
      </c>
      <c r="I2463" s="156">
        <v>371253.56</v>
      </c>
      <c r="J2463" s="156">
        <v>18299.669999999998</v>
      </c>
      <c r="K2463" s="131">
        <f t="shared" si="167"/>
        <v>718217.05</v>
      </c>
      <c r="L2463" s="134">
        <v>0.1792</v>
      </c>
    </row>
    <row r="2464" spans="3:12">
      <c r="C2464" s="161">
        <f t="shared" si="165"/>
        <v>2016</v>
      </c>
      <c r="D2464" s="35" t="s">
        <v>297</v>
      </c>
      <c r="E2464" s="227">
        <v>42705</v>
      </c>
      <c r="F2464" s="156">
        <v>587556.24</v>
      </c>
      <c r="G2464" s="131">
        <f t="shared" si="166"/>
        <v>105290.07820799999</v>
      </c>
      <c r="H2464" s="156">
        <v>19491.28</v>
      </c>
      <c r="I2464" s="156">
        <v>1203.69</v>
      </c>
      <c r="J2464" s="156">
        <v>22503.02</v>
      </c>
      <c r="K2464" s="131">
        <f t="shared" si="167"/>
        <v>43197.99</v>
      </c>
      <c r="L2464" s="134">
        <v>0.1792</v>
      </c>
    </row>
    <row r="2465" spans="3:12">
      <c r="C2465" s="161">
        <f t="shared" si="165"/>
        <v>2017</v>
      </c>
      <c r="D2465" s="35" t="s">
        <v>297</v>
      </c>
      <c r="E2465" s="227">
        <v>42736</v>
      </c>
      <c r="F2465" s="156">
        <v>644776.54</v>
      </c>
      <c r="G2465" s="131">
        <f t="shared" si="166"/>
        <v>115543.95596800001</v>
      </c>
      <c r="H2465" s="156">
        <v>54353.19</v>
      </c>
      <c r="I2465" s="156">
        <v>57165.81</v>
      </c>
      <c r="J2465" s="156">
        <v>20825.599999999999</v>
      </c>
      <c r="K2465" s="131">
        <f t="shared" si="167"/>
        <v>132344.6</v>
      </c>
      <c r="L2465" s="134">
        <v>0.1792</v>
      </c>
    </row>
    <row r="2466" spans="3:12">
      <c r="C2466" s="161">
        <f t="shared" si="165"/>
        <v>2017</v>
      </c>
      <c r="D2466" s="35" t="s">
        <v>297</v>
      </c>
      <c r="E2466" s="227">
        <v>42767</v>
      </c>
      <c r="F2466" s="156">
        <v>608583.17000000004</v>
      </c>
      <c r="G2466" s="131">
        <f t="shared" si="166"/>
        <v>109058.104064</v>
      </c>
      <c r="H2466" s="156">
        <v>2878.01</v>
      </c>
      <c r="I2466" s="156">
        <v>214151.33</v>
      </c>
      <c r="J2466" s="156">
        <v>3923.01</v>
      </c>
      <c r="K2466" s="131">
        <f t="shared" si="167"/>
        <v>220952.35</v>
      </c>
      <c r="L2466" s="134">
        <v>0.1792</v>
      </c>
    </row>
    <row r="2467" spans="3:12">
      <c r="C2467" s="161">
        <f t="shared" si="165"/>
        <v>2017</v>
      </c>
      <c r="D2467" s="35" t="s">
        <v>297</v>
      </c>
      <c r="E2467" s="227">
        <v>42795</v>
      </c>
      <c r="F2467" s="156">
        <v>590014.06999999995</v>
      </c>
      <c r="G2467" s="131">
        <f t="shared" si="166"/>
        <v>105730.52134399999</v>
      </c>
      <c r="H2467" s="156">
        <v>113619.88</v>
      </c>
      <c r="I2467" s="156">
        <v>167624.47</v>
      </c>
      <c r="J2467" s="156">
        <v>530</v>
      </c>
      <c r="K2467" s="131">
        <f t="shared" si="167"/>
        <v>281774.34999999998</v>
      </c>
      <c r="L2467" s="134">
        <v>0.1792</v>
      </c>
    </row>
    <row r="2468" spans="3:12">
      <c r="C2468" s="161">
        <f t="shared" si="165"/>
        <v>2017</v>
      </c>
      <c r="D2468" s="35" t="s">
        <v>297</v>
      </c>
      <c r="E2468" s="227">
        <v>42826</v>
      </c>
      <c r="F2468" s="156">
        <v>601461.51</v>
      </c>
      <c r="G2468" s="131">
        <f t="shared" si="166"/>
        <v>107781.902592</v>
      </c>
      <c r="H2468" s="156">
        <v>214242.18</v>
      </c>
      <c r="I2468" s="156">
        <v>1815.37</v>
      </c>
      <c r="J2468" s="156">
        <v>0</v>
      </c>
      <c r="K2468" s="131">
        <f t="shared" si="167"/>
        <v>216057.55</v>
      </c>
      <c r="L2468" s="134">
        <v>0.1792</v>
      </c>
    </row>
    <row r="2469" spans="3:12">
      <c r="C2469" s="161">
        <f t="shared" si="165"/>
        <v>2017</v>
      </c>
      <c r="D2469" s="35" t="s">
        <v>297</v>
      </c>
      <c r="E2469" s="227">
        <v>42856</v>
      </c>
      <c r="F2469" s="156">
        <v>551206.62</v>
      </c>
      <c r="G2469" s="131">
        <f t="shared" si="166"/>
        <v>98776.226303999996</v>
      </c>
      <c r="H2469" s="156">
        <v>5121.1000000000004</v>
      </c>
      <c r="I2469" s="156">
        <v>160593.13</v>
      </c>
      <c r="J2469" s="156">
        <v>943.74</v>
      </c>
      <c r="K2469" s="131">
        <f t="shared" si="167"/>
        <v>166657.97</v>
      </c>
      <c r="L2469" s="134">
        <v>0.1792</v>
      </c>
    </row>
    <row r="2470" spans="3:12">
      <c r="C2470" s="161">
        <f t="shared" si="165"/>
        <v>2017</v>
      </c>
      <c r="D2470" s="35" t="s">
        <v>297</v>
      </c>
      <c r="E2470" s="227">
        <v>42887</v>
      </c>
      <c r="F2470" s="156">
        <v>552221.68000000005</v>
      </c>
      <c r="G2470" s="131">
        <f t="shared" si="166"/>
        <v>98958.125056000004</v>
      </c>
      <c r="H2470" s="156">
        <v>48875.88</v>
      </c>
      <c r="I2470" s="156">
        <v>2450.75</v>
      </c>
      <c r="J2470" s="156">
        <v>0</v>
      </c>
      <c r="K2470" s="131">
        <f t="shared" si="167"/>
        <v>51326.63</v>
      </c>
      <c r="L2470" s="134">
        <v>0.1792</v>
      </c>
    </row>
    <row r="2471" spans="3:12">
      <c r="C2471" s="161">
        <f t="shared" si="165"/>
        <v>2017</v>
      </c>
      <c r="D2471" s="35" t="s">
        <v>297</v>
      </c>
      <c r="E2471" s="227">
        <v>42917</v>
      </c>
      <c r="F2471" s="156">
        <v>571950.39</v>
      </c>
      <c r="G2471" s="131">
        <f t="shared" si="166"/>
        <v>102493.509888</v>
      </c>
      <c r="H2471" s="156">
        <v>129290.53</v>
      </c>
      <c r="I2471" s="156">
        <v>368347.61</v>
      </c>
      <c r="J2471" s="156">
        <v>0</v>
      </c>
      <c r="K2471" s="131">
        <f t="shared" si="167"/>
        <v>497638.14</v>
      </c>
      <c r="L2471" s="134">
        <v>0.1792</v>
      </c>
    </row>
    <row r="2472" spans="3:12">
      <c r="C2472" s="161">
        <f t="shared" si="165"/>
        <v>2017</v>
      </c>
      <c r="D2472" s="35" t="s">
        <v>297</v>
      </c>
      <c r="E2472" s="227">
        <v>42948</v>
      </c>
      <c r="F2472" s="156">
        <v>615179.1</v>
      </c>
      <c r="G2472" s="131">
        <f t="shared" si="166"/>
        <v>110240.09471999999</v>
      </c>
      <c r="H2472" s="156">
        <v>11826.53</v>
      </c>
      <c r="I2472" s="156">
        <v>-147051.74</v>
      </c>
      <c r="J2472" s="156">
        <v>0</v>
      </c>
      <c r="K2472" s="131">
        <f t="shared" si="167"/>
        <v>-135225.21</v>
      </c>
      <c r="L2472" s="134">
        <v>0.1792</v>
      </c>
    </row>
    <row r="2473" spans="3:12">
      <c r="C2473" s="161">
        <f t="shared" si="165"/>
        <v>2017</v>
      </c>
      <c r="D2473" s="35" t="s">
        <v>297</v>
      </c>
      <c r="E2473" s="227">
        <v>42979</v>
      </c>
      <c r="F2473" s="156">
        <v>661644.09</v>
      </c>
      <c r="G2473" s="131">
        <f t="shared" si="166"/>
        <v>118566.62092799999</v>
      </c>
      <c r="H2473" s="156">
        <v>3530.05</v>
      </c>
      <c r="I2473" s="156">
        <v>2333.4</v>
      </c>
      <c r="J2473" s="156">
        <v>0</v>
      </c>
      <c r="K2473" s="131">
        <f t="shared" si="167"/>
        <v>5863.4500000000007</v>
      </c>
      <c r="L2473" s="134">
        <v>0.1792</v>
      </c>
    </row>
    <row r="2474" spans="3:12">
      <c r="C2474" s="161">
        <f t="shared" si="165"/>
        <v>2017</v>
      </c>
      <c r="D2474" s="35" t="s">
        <v>297</v>
      </c>
      <c r="E2474" s="227">
        <v>43009</v>
      </c>
      <c r="F2474" s="156">
        <v>628687.9</v>
      </c>
      <c r="G2474" s="131">
        <f t="shared" si="166"/>
        <v>112660.87168</v>
      </c>
      <c r="H2474" s="156">
        <v>182075.4</v>
      </c>
      <c r="I2474" s="156">
        <v>108479.21</v>
      </c>
      <c r="J2474" s="156">
        <v>0</v>
      </c>
      <c r="K2474" s="131">
        <f t="shared" si="167"/>
        <v>290554.61</v>
      </c>
      <c r="L2474" s="134">
        <v>0.1792</v>
      </c>
    </row>
    <row r="2475" spans="3:12">
      <c r="C2475" s="161">
        <f t="shared" si="165"/>
        <v>2017</v>
      </c>
      <c r="D2475" s="35" t="s">
        <v>297</v>
      </c>
      <c r="E2475" s="227">
        <v>43040</v>
      </c>
      <c r="F2475" s="156">
        <v>642597.63</v>
      </c>
      <c r="G2475" s="131">
        <f t="shared" si="166"/>
        <v>115153.49529599999</v>
      </c>
      <c r="H2475" s="156">
        <v>120242.8</v>
      </c>
      <c r="I2475" s="156">
        <v>335895.13</v>
      </c>
      <c r="J2475" s="156">
        <v>678.3</v>
      </c>
      <c r="K2475" s="131">
        <f t="shared" si="167"/>
        <v>456816.23</v>
      </c>
      <c r="L2475" s="134">
        <v>0.1792</v>
      </c>
    </row>
    <row r="2476" spans="3:12">
      <c r="C2476" s="161">
        <f t="shared" si="165"/>
        <v>2017</v>
      </c>
      <c r="D2476" s="35" t="s">
        <v>297</v>
      </c>
      <c r="E2476" s="227">
        <v>43070</v>
      </c>
      <c r="F2476" s="156">
        <v>934318</v>
      </c>
      <c r="G2476" s="131">
        <f t="shared" si="166"/>
        <v>167429.7856</v>
      </c>
      <c r="H2476" s="156">
        <v>5781.06</v>
      </c>
      <c r="I2476" s="156">
        <v>70457.52</v>
      </c>
      <c r="J2476" s="156">
        <v>0</v>
      </c>
      <c r="K2476" s="131">
        <f t="shared" si="167"/>
        <v>76238.58</v>
      </c>
      <c r="L2476" s="134">
        <v>0.1792</v>
      </c>
    </row>
    <row r="2477" spans="3:12">
      <c r="C2477" s="161">
        <f t="shared" si="165"/>
        <v>2018</v>
      </c>
      <c r="D2477" s="35" t="s">
        <v>297</v>
      </c>
      <c r="E2477" s="227">
        <v>43101</v>
      </c>
      <c r="F2477" s="156">
        <v>642766.11</v>
      </c>
      <c r="G2477" s="131">
        <f t="shared" si="166"/>
        <v>115183.68691199999</v>
      </c>
      <c r="H2477" s="156">
        <v>227670.89</v>
      </c>
      <c r="I2477" s="156">
        <v>52651.38</v>
      </c>
      <c r="J2477" s="156">
        <v>0</v>
      </c>
      <c r="K2477" s="131">
        <f t="shared" si="167"/>
        <v>280322.27</v>
      </c>
      <c r="L2477" s="134">
        <v>0.1792</v>
      </c>
    </row>
    <row r="2478" spans="3:12">
      <c r="C2478" s="161">
        <f t="shared" si="165"/>
        <v>2018</v>
      </c>
      <c r="D2478" s="35" t="s">
        <v>297</v>
      </c>
      <c r="E2478" s="227">
        <v>43132</v>
      </c>
      <c r="F2478" s="156">
        <v>646452.06999999995</v>
      </c>
      <c r="G2478" s="131">
        <f t="shared" si="166"/>
        <v>115844.21094399999</v>
      </c>
      <c r="H2478" s="156">
        <v>1819.47</v>
      </c>
      <c r="I2478" s="156">
        <v>10371.67</v>
      </c>
      <c r="J2478" s="156">
        <v>4929.95</v>
      </c>
      <c r="K2478" s="131">
        <f t="shared" si="167"/>
        <v>17121.09</v>
      </c>
      <c r="L2478" s="134">
        <v>0.1792</v>
      </c>
    </row>
    <row r="2479" spans="3:12">
      <c r="C2479" s="161">
        <f t="shared" si="165"/>
        <v>2018</v>
      </c>
      <c r="D2479" s="35" t="s">
        <v>297</v>
      </c>
      <c r="E2479" s="227">
        <v>43160</v>
      </c>
      <c r="F2479" s="156">
        <v>606656.4</v>
      </c>
      <c r="G2479" s="131">
        <f t="shared" si="166"/>
        <v>108712.82688000001</v>
      </c>
      <c r="H2479" s="156">
        <v>135879.32</v>
      </c>
      <c r="I2479" s="156">
        <v>150866.84</v>
      </c>
      <c r="J2479" s="156">
        <v>0</v>
      </c>
      <c r="K2479" s="131">
        <f t="shared" si="167"/>
        <v>286746.16000000003</v>
      </c>
      <c r="L2479" s="134">
        <v>0.1792</v>
      </c>
    </row>
    <row r="2480" spans="3:12">
      <c r="C2480" s="161">
        <f t="shared" si="165"/>
        <v>2018</v>
      </c>
      <c r="D2480" s="35" t="s">
        <v>297</v>
      </c>
      <c r="E2480" s="227">
        <v>43191</v>
      </c>
      <c r="F2480" s="156">
        <v>635614.87</v>
      </c>
      <c r="G2480" s="131">
        <f t="shared" si="166"/>
        <v>113902.184704</v>
      </c>
      <c r="H2480" s="156">
        <v>142746.45000000001</v>
      </c>
      <c r="I2480" s="156">
        <v>72159.97</v>
      </c>
      <c r="J2480" s="156">
        <v>0</v>
      </c>
      <c r="K2480" s="131">
        <f t="shared" si="167"/>
        <v>214906.42</v>
      </c>
      <c r="L2480" s="134">
        <v>0.1792</v>
      </c>
    </row>
    <row r="2481" spans="3:12">
      <c r="C2481" s="161">
        <f t="shared" si="165"/>
        <v>2018</v>
      </c>
      <c r="D2481" s="35" t="s">
        <v>297</v>
      </c>
      <c r="E2481" s="227">
        <v>43221</v>
      </c>
      <c r="F2481" s="156">
        <v>619738.6</v>
      </c>
      <c r="G2481" s="131">
        <f t="shared" si="166"/>
        <v>111057.15711999999</v>
      </c>
      <c r="H2481" s="156">
        <v>330228.21999999997</v>
      </c>
      <c r="I2481" s="156">
        <v>128969.03</v>
      </c>
      <c r="J2481" s="156">
        <v>0</v>
      </c>
      <c r="K2481" s="131">
        <f t="shared" si="167"/>
        <v>459197.25</v>
      </c>
      <c r="L2481" s="134">
        <v>0.1792</v>
      </c>
    </row>
    <row r="2482" spans="3:12">
      <c r="C2482" s="161">
        <f t="shared" si="165"/>
        <v>2018</v>
      </c>
      <c r="D2482" s="35" t="s">
        <v>297</v>
      </c>
      <c r="E2482" s="227">
        <v>43252</v>
      </c>
      <c r="F2482" s="156">
        <v>587028.88</v>
      </c>
      <c r="G2482" s="131">
        <f t="shared" si="166"/>
        <v>105195.575296</v>
      </c>
      <c r="H2482" s="156">
        <v>27055.41</v>
      </c>
      <c r="I2482" s="156">
        <v>159.16</v>
      </c>
      <c r="J2482" s="156">
        <v>2450</v>
      </c>
      <c r="K2482" s="131">
        <f t="shared" si="167"/>
        <v>29664.57</v>
      </c>
      <c r="L2482" s="134">
        <v>0.1792</v>
      </c>
    </row>
    <row r="2483" spans="3:12">
      <c r="C2483" s="161">
        <f t="shared" si="165"/>
        <v>2018</v>
      </c>
      <c r="D2483" s="35" t="s">
        <v>297</v>
      </c>
      <c r="E2483" s="227">
        <v>43282</v>
      </c>
      <c r="F2483" s="156">
        <v>624820.19999999995</v>
      </c>
      <c r="G2483" s="131">
        <f t="shared" si="166"/>
        <v>111967.77983999999</v>
      </c>
      <c r="H2483" s="156">
        <v>134347.64000000001</v>
      </c>
      <c r="I2483" s="156">
        <v>126583.76</v>
      </c>
      <c r="J2483" s="156">
        <v>0</v>
      </c>
      <c r="K2483" s="131">
        <f t="shared" si="167"/>
        <v>260931.40000000002</v>
      </c>
      <c r="L2483" s="134">
        <v>0.1792</v>
      </c>
    </row>
    <row r="2484" spans="3:12">
      <c r="C2484" s="161">
        <f t="shared" si="165"/>
        <v>2018</v>
      </c>
      <c r="D2484" s="35" t="s">
        <v>297</v>
      </c>
      <c r="E2484" s="227">
        <v>43313</v>
      </c>
      <c r="F2484" s="156">
        <v>613413.49</v>
      </c>
      <c r="G2484" s="131">
        <f t="shared" si="166"/>
        <v>109923.69740799999</v>
      </c>
      <c r="H2484" s="156">
        <v>15586.05</v>
      </c>
      <c r="I2484" s="156">
        <v>105560.89</v>
      </c>
      <c r="J2484" s="156">
        <v>0</v>
      </c>
      <c r="K2484" s="131">
        <f t="shared" si="167"/>
        <v>121146.94</v>
      </c>
      <c r="L2484" s="134">
        <v>0.1792</v>
      </c>
    </row>
    <row r="2485" spans="3:12">
      <c r="C2485" s="161">
        <f t="shared" si="165"/>
        <v>2018</v>
      </c>
      <c r="D2485" s="35" t="s">
        <v>297</v>
      </c>
      <c r="E2485" s="227">
        <v>43344</v>
      </c>
      <c r="F2485" s="156">
        <v>623293.16</v>
      </c>
      <c r="G2485" s="131">
        <f t="shared" si="166"/>
        <v>111694.13427200001</v>
      </c>
      <c r="H2485" s="156">
        <v>4577.32</v>
      </c>
      <c r="I2485" s="156">
        <v>60094.17</v>
      </c>
      <c r="J2485" s="156">
        <v>379.18</v>
      </c>
      <c r="K2485" s="131">
        <f t="shared" si="167"/>
        <v>65050.67</v>
      </c>
      <c r="L2485" s="134">
        <v>0.1792</v>
      </c>
    </row>
    <row r="2486" spans="3:12">
      <c r="C2486" s="161">
        <f t="shared" si="165"/>
        <v>2018</v>
      </c>
      <c r="D2486" s="35" t="s">
        <v>297</v>
      </c>
      <c r="E2486" s="227">
        <v>43374</v>
      </c>
      <c r="F2486" s="156">
        <v>661201.89</v>
      </c>
      <c r="G2486" s="131">
        <f t="shared" si="166"/>
        <v>118487.378688</v>
      </c>
      <c r="H2486" s="156">
        <v>25929.35</v>
      </c>
      <c r="I2486" s="156">
        <v>88010.91</v>
      </c>
      <c r="J2486" s="156">
        <v>0</v>
      </c>
      <c r="K2486" s="131">
        <f t="shared" si="167"/>
        <v>113940.26000000001</v>
      </c>
      <c r="L2486" s="134">
        <v>0.1792</v>
      </c>
    </row>
    <row r="2487" spans="3:12">
      <c r="C2487" s="161">
        <f t="shared" si="165"/>
        <v>2018</v>
      </c>
      <c r="D2487" s="35" t="s">
        <v>297</v>
      </c>
      <c r="E2487" s="227">
        <v>43405</v>
      </c>
      <c r="F2487" s="156">
        <v>691436.09287499997</v>
      </c>
      <c r="G2487" s="131">
        <f t="shared" si="166"/>
        <v>123905.3478432</v>
      </c>
      <c r="H2487" s="156">
        <v>239137.37</v>
      </c>
      <c r="I2487" s="156">
        <v>4079.23</v>
      </c>
      <c r="J2487" s="156">
        <v>0</v>
      </c>
      <c r="K2487" s="131">
        <f t="shared" si="167"/>
        <v>243216.6</v>
      </c>
      <c r="L2487" s="134">
        <v>0.1792</v>
      </c>
    </row>
    <row r="2488" spans="3:12">
      <c r="C2488" s="161">
        <f t="shared" si="165"/>
        <v>2018</v>
      </c>
      <c r="D2488" s="35" t="s">
        <v>297</v>
      </c>
      <c r="E2488" s="227">
        <v>43435</v>
      </c>
      <c r="F2488" s="156">
        <v>719408.49</v>
      </c>
      <c r="G2488" s="131">
        <f t="shared" si="166"/>
        <v>128918.001408</v>
      </c>
      <c r="H2488" s="156">
        <v>2438.44</v>
      </c>
      <c r="I2488" s="156">
        <v>112434.46</v>
      </c>
      <c r="J2488" s="156" t="s">
        <v>267</v>
      </c>
      <c r="K2488" s="131">
        <f t="shared" si="167"/>
        <v>114872.90000000001</v>
      </c>
      <c r="L2488" s="134">
        <v>0.1792</v>
      </c>
    </row>
    <row r="2489" spans="3:12">
      <c r="C2489" s="161">
        <f t="shared" si="165"/>
        <v>2019</v>
      </c>
      <c r="D2489" s="35" t="s">
        <v>297</v>
      </c>
      <c r="E2489" s="227">
        <v>43466</v>
      </c>
      <c r="F2489" s="156">
        <v>776452.07</v>
      </c>
      <c r="G2489" s="131">
        <f t="shared" si="166"/>
        <v>139140.21094399999</v>
      </c>
      <c r="H2489" s="156">
        <v>4428.17</v>
      </c>
      <c r="I2489" s="156">
        <v>298041.98</v>
      </c>
      <c r="J2489" s="156">
        <v>1394.01</v>
      </c>
      <c r="K2489" s="131">
        <f t="shared" si="167"/>
        <v>303864.15999999997</v>
      </c>
      <c r="L2489" s="134">
        <v>0.1792</v>
      </c>
    </row>
    <row r="2490" spans="3:12">
      <c r="C2490" s="161">
        <f t="shared" si="165"/>
        <v>2019</v>
      </c>
      <c r="D2490" s="35" t="s">
        <v>297</v>
      </c>
      <c r="E2490" s="227">
        <v>43497</v>
      </c>
      <c r="F2490" s="156">
        <v>763661.08</v>
      </c>
      <c r="G2490" s="131">
        <f t="shared" si="166"/>
        <v>136848.06553599998</v>
      </c>
      <c r="H2490" s="156">
        <v>5184.1400000000003</v>
      </c>
      <c r="I2490" s="156">
        <v>322543.46000000002</v>
      </c>
      <c r="J2490" s="156">
        <v>2200.3000000000002</v>
      </c>
      <c r="K2490" s="131">
        <f t="shared" si="167"/>
        <v>329927.90000000002</v>
      </c>
      <c r="L2490" s="134">
        <v>0.1792</v>
      </c>
    </row>
    <row r="2491" spans="3:12">
      <c r="C2491" s="161">
        <f t="shared" si="165"/>
        <v>2019</v>
      </c>
      <c r="D2491" s="35" t="s">
        <v>297</v>
      </c>
      <c r="E2491" s="227">
        <v>43525</v>
      </c>
      <c r="F2491" s="156">
        <v>635383.09</v>
      </c>
      <c r="G2491" s="131">
        <f t="shared" si="166"/>
        <v>113860.64972799999</v>
      </c>
      <c r="H2491" s="156">
        <v>2808.66</v>
      </c>
      <c r="I2491" s="156">
        <v>621930.05000000005</v>
      </c>
      <c r="J2491" s="156">
        <v>0</v>
      </c>
      <c r="K2491" s="131">
        <f t="shared" si="167"/>
        <v>624738.71000000008</v>
      </c>
      <c r="L2491" s="134">
        <v>0.1792</v>
      </c>
    </row>
    <row r="2492" spans="3:12">
      <c r="C2492" s="161">
        <f t="shared" si="165"/>
        <v>2019</v>
      </c>
      <c r="D2492" s="35" t="s">
        <v>297</v>
      </c>
      <c r="E2492" s="227">
        <v>43556</v>
      </c>
      <c r="F2492" s="156">
        <v>687456.34</v>
      </c>
      <c r="G2492" s="131">
        <f t="shared" si="166"/>
        <v>123192.17612799999</v>
      </c>
      <c r="H2492" s="156">
        <v>2962.49</v>
      </c>
      <c r="I2492" s="156">
        <v>97094.29</v>
      </c>
      <c r="J2492" s="156">
        <v>0</v>
      </c>
      <c r="K2492" s="131">
        <f t="shared" si="167"/>
        <v>100056.78</v>
      </c>
      <c r="L2492" s="134">
        <v>0.1792</v>
      </c>
    </row>
    <row r="2493" spans="3:12">
      <c r="C2493" s="161">
        <f t="shared" si="165"/>
        <v>2019</v>
      </c>
      <c r="D2493" s="35" t="s">
        <v>297</v>
      </c>
      <c r="E2493" s="227">
        <v>43586</v>
      </c>
      <c r="F2493" s="156">
        <v>673458.51</v>
      </c>
      <c r="G2493" s="131">
        <f t="shared" si="166"/>
        <v>120683.764992</v>
      </c>
      <c r="H2493" s="156">
        <v>5081.66</v>
      </c>
      <c r="I2493" s="156">
        <v>431822.59</v>
      </c>
      <c r="J2493" s="156">
        <v>0</v>
      </c>
      <c r="K2493" s="131">
        <f t="shared" si="167"/>
        <v>436904.25</v>
      </c>
      <c r="L2493" s="134">
        <v>0.1792</v>
      </c>
    </row>
    <row r="2494" spans="3:12">
      <c r="C2494" s="161">
        <f t="shared" si="165"/>
        <v>2019</v>
      </c>
      <c r="D2494" s="35" t="s">
        <v>297</v>
      </c>
      <c r="E2494" s="227">
        <v>43617</v>
      </c>
      <c r="F2494" s="156">
        <v>650103.68000000005</v>
      </c>
      <c r="G2494" s="131">
        <f t="shared" si="166"/>
        <v>116498.57945600001</v>
      </c>
      <c r="H2494" s="156">
        <v>19462.72</v>
      </c>
      <c r="I2494" s="156">
        <v>408555.66</v>
      </c>
      <c r="J2494" s="156">
        <v>0</v>
      </c>
      <c r="K2494" s="131">
        <f t="shared" si="167"/>
        <v>428018.38</v>
      </c>
      <c r="L2494" s="134">
        <v>0.1792</v>
      </c>
    </row>
    <row r="2495" spans="3:12">
      <c r="C2495" s="161">
        <f t="shared" si="165"/>
        <v>2019</v>
      </c>
      <c r="D2495" s="35" t="s">
        <v>297</v>
      </c>
      <c r="E2495" s="227">
        <v>43647</v>
      </c>
      <c r="F2495" s="156">
        <v>679003.5</v>
      </c>
      <c r="G2495" s="131">
        <f t="shared" si="166"/>
        <v>121677.42720000001</v>
      </c>
      <c r="H2495" s="156">
        <v>241652.87</v>
      </c>
      <c r="I2495" s="156">
        <v>96523.51</v>
      </c>
      <c r="J2495" s="156">
        <v>0</v>
      </c>
      <c r="K2495" s="131">
        <f t="shared" si="167"/>
        <v>338176.38</v>
      </c>
      <c r="L2495" s="134">
        <v>0.1792</v>
      </c>
    </row>
    <row r="2496" spans="3:12">
      <c r="C2496" s="161">
        <f t="shared" si="165"/>
        <v>2019</v>
      </c>
      <c r="D2496" s="35" t="s">
        <v>297</v>
      </c>
      <c r="E2496" s="227">
        <v>43678</v>
      </c>
      <c r="F2496" s="156">
        <v>722429.5</v>
      </c>
      <c r="G2496" s="131">
        <f t="shared" si="166"/>
        <v>129459.3664</v>
      </c>
      <c r="H2496" s="156">
        <v>5649.6</v>
      </c>
      <c r="I2496" s="156">
        <v>17049.599999999999</v>
      </c>
      <c r="J2496" s="156">
        <v>870</v>
      </c>
      <c r="K2496" s="131">
        <f t="shared" si="167"/>
        <v>23569.199999999997</v>
      </c>
      <c r="L2496" s="134">
        <v>0.1792</v>
      </c>
    </row>
    <row r="2497" spans="3:12">
      <c r="C2497" s="161">
        <f t="shared" si="165"/>
        <v>2019</v>
      </c>
      <c r="D2497" s="35" t="s">
        <v>297</v>
      </c>
      <c r="E2497" s="227">
        <v>43709</v>
      </c>
      <c r="F2497" s="156">
        <v>797933.68</v>
      </c>
      <c r="G2497" s="131">
        <f t="shared" si="166"/>
        <v>142989.71545600001</v>
      </c>
      <c r="H2497" s="156">
        <v>5646.95</v>
      </c>
      <c r="I2497" s="156">
        <v>28161.85</v>
      </c>
      <c r="J2497" s="156">
        <v>7528.26</v>
      </c>
      <c r="K2497" s="131">
        <f t="shared" si="167"/>
        <v>41337.06</v>
      </c>
      <c r="L2497" s="134">
        <v>0.1792</v>
      </c>
    </row>
    <row r="2498" spans="3:12">
      <c r="C2498" s="161">
        <f t="shared" si="165"/>
        <v>2019</v>
      </c>
      <c r="D2498" s="35" t="s">
        <v>297</v>
      </c>
      <c r="E2498" s="227">
        <v>43739</v>
      </c>
      <c r="F2498" s="156">
        <v>789828.47</v>
      </c>
      <c r="G2498" s="131">
        <f t="shared" si="166"/>
        <v>141537.26182399999</v>
      </c>
      <c r="H2498" s="156">
        <v>12275.41</v>
      </c>
      <c r="I2498" s="156">
        <v>23366.28</v>
      </c>
      <c r="J2498" s="156">
        <v>177933.33</v>
      </c>
      <c r="K2498" s="131">
        <f t="shared" si="167"/>
        <v>213575.02</v>
      </c>
      <c r="L2498" s="134">
        <v>0.1792</v>
      </c>
    </row>
    <row r="2499" spans="3:12">
      <c r="C2499" s="161">
        <f t="shared" si="165"/>
        <v>2019</v>
      </c>
      <c r="D2499" s="35" t="s">
        <v>297</v>
      </c>
      <c r="E2499" s="227">
        <v>43770</v>
      </c>
      <c r="F2499" s="156">
        <v>845007.78</v>
      </c>
      <c r="G2499" s="131">
        <f t="shared" si="166"/>
        <v>151425.394176</v>
      </c>
      <c r="H2499" s="156">
        <v>2772.73</v>
      </c>
      <c r="I2499" s="156">
        <v>24122.98</v>
      </c>
      <c r="J2499" s="156">
        <v>2368.75</v>
      </c>
      <c r="K2499" s="131">
        <f t="shared" si="167"/>
        <v>29264.46</v>
      </c>
      <c r="L2499" s="134">
        <v>0.1792</v>
      </c>
    </row>
    <row r="2500" spans="3:12">
      <c r="C2500" s="161">
        <f t="shared" ref="C2500:C2563" si="168">YEAR(E2500)</f>
        <v>2019</v>
      </c>
      <c r="D2500" s="35" t="s">
        <v>297</v>
      </c>
      <c r="E2500" s="227">
        <v>43800</v>
      </c>
      <c r="F2500" s="156">
        <v>778581.31</v>
      </c>
      <c r="G2500" s="131">
        <f t="shared" ref="G2500:G2563" si="169">F2500*L2500</f>
        <v>139521.77075200001</v>
      </c>
      <c r="H2500" s="156">
        <v>3225.74</v>
      </c>
      <c r="I2500" s="156">
        <v>21407.13</v>
      </c>
      <c r="J2500" s="156">
        <v>0</v>
      </c>
      <c r="K2500" s="131">
        <f t="shared" ref="K2500:K2563" si="170">SUM(H2500:J2500)</f>
        <v>24632.870000000003</v>
      </c>
      <c r="L2500" s="134">
        <v>0.1792</v>
      </c>
    </row>
    <row r="2501" spans="3:12">
      <c r="C2501" s="161">
        <f t="shared" si="168"/>
        <v>2020</v>
      </c>
      <c r="D2501" s="35" t="s">
        <v>297</v>
      </c>
      <c r="E2501" s="227">
        <v>43831</v>
      </c>
      <c r="F2501" s="156">
        <v>843160.27</v>
      </c>
      <c r="G2501" s="131">
        <f t="shared" si="169"/>
        <v>151094.32038399999</v>
      </c>
      <c r="H2501" s="156">
        <v>5015.1499999999996</v>
      </c>
      <c r="I2501" s="156">
        <v>18860.05</v>
      </c>
      <c r="J2501" s="156">
        <v>0</v>
      </c>
      <c r="K2501" s="131">
        <f t="shared" si="170"/>
        <v>23875.199999999997</v>
      </c>
      <c r="L2501" s="134">
        <v>0.1792</v>
      </c>
    </row>
    <row r="2502" spans="3:12">
      <c r="C2502" s="161">
        <f t="shared" si="168"/>
        <v>2020</v>
      </c>
      <c r="D2502" s="35" t="s">
        <v>297</v>
      </c>
      <c r="E2502" s="227">
        <v>43862</v>
      </c>
      <c r="F2502" s="156">
        <v>796572.55</v>
      </c>
      <c r="G2502" s="131">
        <f t="shared" si="169"/>
        <v>142745.80095999999</v>
      </c>
      <c r="H2502" s="156">
        <v>21364.02</v>
      </c>
      <c r="I2502" s="156">
        <v>17711.89</v>
      </c>
      <c r="J2502" s="156">
        <v>1995</v>
      </c>
      <c r="K2502" s="131">
        <f t="shared" si="170"/>
        <v>41070.910000000003</v>
      </c>
      <c r="L2502" s="134">
        <v>0.1792</v>
      </c>
    </row>
    <row r="2503" spans="3:12">
      <c r="C2503" s="161">
        <f t="shared" si="168"/>
        <v>2020</v>
      </c>
      <c r="D2503" s="35" t="s">
        <v>297</v>
      </c>
      <c r="E2503" s="227">
        <v>43891</v>
      </c>
      <c r="F2503" s="156">
        <v>755165.97915000003</v>
      </c>
      <c r="G2503" s="131">
        <f t="shared" si="169"/>
        <v>135325.74346368</v>
      </c>
      <c r="H2503" s="156">
        <v>5577.12</v>
      </c>
      <c r="I2503" s="156">
        <v>18513.11</v>
      </c>
      <c r="J2503" s="156">
        <v>0</v>
      </c>
      <c r="K2503" s="131">
        <f t="shared" si="170"/>
        <v>24090.23</v>
      </c>
      <c r="L2503" s="134">
        <v>0.1792</v>
      </c>
    </row>
    <row r="2504" spans="3:12">
      <c r="C2504" s="161">
        <f t="shared" si="168"/>
        <v>2020</v>
      </c>
      <c r="D2504" s="35" t="s">
        <v>297</v>
      </c>
      <c r="E2504" s="227">
        <v>43922</v>
      </c>
      <c r="F2504" s="156">
        <v>783992.01787500002</v>
      </c>
      <c r="G2504" s="131">
        <f t="shared" si="169"/>
        <v>140491.3696032</v>
      </c>
      <c r="H2504" s="156">
        <v>3086.77</v>
      </c>
      <c r="I2504" s="156">
        <v>22672.080000000002</v>
      </c>
      <c r="J2504" s="156">
        <v>0</v>
      </c>
      <c r="K2504" s="131">
        <f t="shared" si="170"/>
        <v>25758.850000000002</v>
      </c>
      <c r="L2504" s="134">
        <v>0.1792</v>
      </c>
    </row>
    <row r="2505" spans="3:12">
      <c r="C2505" s="161">
        <f t="shared" si="168"/>
        <v>2020</v>
      </c>
      <c r="D2505" s="35" t="s">
        <v>297</v>
      </c>
      <c r="E2505" s="227">
        <v>43952</v>
      </c>
      <c r="F2505" s="156">
        <v>727979.52000000002</v>
      </c>
      <c r="G2505" s="131">
        <f t="shared" si="169"/>
        <v>130453.929984</v>
      </c>
      <c r="H2505" s="156">
        <v>2670.02</v>
      </c>
      <c r="I2505" s="156">
        <v>55269.56</v>
      </c>
      <c r="J2505" s="156">
        <v>0</v>
      </c>
      <c r="K2505" s="131">
        <f t="shared" si="170"/>
        <v>57939.579999999994</v>
      </c>
      <c r="L2505" s="134">
        <v>0.1792</v>
      </c>
    </row>
    <row r="2506" spans="3:12">
      <c r="C2506" s="161">
        <f t="shared" si="168"/>
        <v>2020</v>
      </c>
      <c r="D2506" s="35" t="s">
        <v>297</v>
      </c>
      <c r="E2506" s="227">
        <v>43983</v>
      </c>
      <c r="F2506" s="156">
        <v>736530.29</v>
      </c>
      <c r="G2506" s="131">
        <f t="shared" si="169"/>
        <v>131986.22796799999</v>
      </c>
      <c r="H2506" s="156">
        <v>9622.6299999999992</v>
      </c>
      <c r="I2506" s="156">
        <v>26163.03</v>
      </c>
      <c r="J2506" s="156">
        <v>0</v>
      </c>
      <c r="K2506" s="131">
        <f t="shared" si="170"/>
        <v>35785.659999999996</v>
      </c>
      <c r="L2506" s="134">
        <v>0.1792</v>
      </c>
    </row>
    <row r="2507" spans="3:12">
      <c r="C2507" s="161">
        <f t="shared" si="168"/>
        <v>2020</v>
      </c>
      <c r="D2507" s="35" t="s">
        <v>297</v>
      </c>
      <c r="E2507" s="227">
        <v>44013</v>
      </c>
      <c r="F2507" s="156">
        <v>646215</v>
      </c>
      <c r="G2507" s="131">
        <f t="shared" si="169"/>
        <v>115801.728</v>
      </c>
      <c r="H2507" s="156">
        <v>32634.01</v>
      </c>
      <c r="I2507" s="156">
        <v>39699.620000000003</v>
      </c>
      <c r="J2507" s="156">
        <v>0</v>
      </c>
      <c r="K2507" s="131">
        <f t="shared" si="170"/>
        <v>72333.63</v>
      </c>
      <c r="L2507" s="134">
        <v>0.1792</v>
      </c>
    </row>
    <row r="2508" spans="3:12">
      <c r="C2508" s="161">
        <f t="shared" si="168"/>
        <v>2020</v>
      </c>
      <c r="D2508" s="35" t="s">
        <v>297</v>
      </c>
      <c r="E2508" s="227">
        <v>44044</v>
      </c>
      <c r="F2508" s="156">
        <v>736513.68</v>
      </c>
      <c r="G2508" s="131">
        <f t="shared" si="169"/>
        <v>131983.251456</v>
      </c>
      <c r="H2508" s="156">
        <v>13543.87</v>
      </c>
      <c r="I2508" s="156">
        <v>239574.14</v>
      </c>
      <c r="J2508" s="156">
        <v>1087.4000000000001</v>
      </c>
      <c r="K2508" s="131">
        <f t="shared" si="170"/>
        <v>254205.41</v>
      </c>
      <c r="L2508" s="134">
        <v>0.1792</v>
      </c>
    </row>
    <row r="2509" spans="3:12">
      <c r="C2509" s="161">
        <f t="shared" si="168"/>
        <v>2020</v>
      </c>
      <c r="D2509" s="35" t="s">
        <v>297</v>
      </c>
      <c r="E2509" s="227">
        <v>44075</v>
      </c>
      <c r="F2509" s="156">
        <v>793118.68</v>
      </c>
      <c r="G2509" s="131">
        <f t="shared" si="169"/>
        <v>142126.86745600001</v>
      </c>
      <c r="H2509" s="156">
        <v>10704.07</v>
      </c>
      <c r="I2509" s="156">
        <v>157059.79999999999</v>
      </c>
      <c r="J2509" s="156">
        <v>0</v>
      </c>
      <c r="K2509" s="131">
        <f t="shared" si="170"/>
        <v>167763.87</v>
      </c>
      <c r="L2509" s="134">
        <v>0.1792</v>
      </c>
    </row>
    <row r="2510" spans="3:12">
      <c r="C2510" s="161">
        <f t="shared" si="168"/>
        <v>2020</v>
      </c>
      <c r="D2510" s="35" t="s">
        <v>297</v>
      </c>
      <c r="E2510" s="227">
        <v>44105</v>
      </c>
      <c r="F2510" s="156">
        <v>882062.36</v>
      </c>
      <c r="G2510" s="131">
        <f t="shared" si="169"/>
        <v>158065.57491199998</v>
      </c>
      <c r="H2510" s="156">
        <v>5354.87</v>
      </c>
      <c r="I2510" s="156">
        <v>252991.11</v>
      </c>
      <c r="J2510" s="156">
        <v>30285</v>
      </c>
      <c r="K2510" s="131">
        <f t="shared" si="170"/>
        <v>288630.98</v>
      </c>
      <c r="L2510" s="134">
        <v>0.1792</v>
      </c>
    </row>
    <row r="2511" spans="3:12">
      <c r="C2511" s="161">
        <f t="shared" si="168"/>
        <v>2020</v>
      </c>
      <c r="D2511" s="35" t="s">
        <v>297</v>
      </c>
      <c r="E2511" s="227">
        <v>44136</v>
      </c>
      <c r="F2511" s="156">
        <v>812890.48</v>
      </c>
      <c r="G2511" s="131">
        <f t="shared" si="169"/>
        <v>145669.97401599999</v>
      </c>
      <c r="H2511" s="156">
        <v>2951.04</v>
      </c>
      <c r="I2511" s="156">
        <v>249447.89</v>
      </c>
      <c r="J2511" s="156">
        <v>3912</v>
      </c>
      <c r="K2511" s="131">
        <f t="shared" si="170"/>
        <v>256310.93000000002</v>
      </c>
      <c r="L2511" s="134">
        <v>0.1792</v>
      </c>
    </row>
    <row r="2512" spans="3:12">
      <c r="C2512" s="161">
        <f t="shared" si="168"/>
        <v>2020</v>
      </c>
      <c r="D2512" s="35" t="s">
        <v>297</v>
      </c>
      <c r="E2512" s="227">
        <v>44166</v>
      </c>
      <c r="F2512" s="156">
        <v>852453.36</v>
      </c>
      <c r="G2512" s="131">
        <f t="shared" si="169"/>
        <v>152759.642112</v>
      </c>
      <c r="H2512" s="156">
        <v>3185.02</v>
      </c>
      <c r="I2512" s="156">
        <v>101565.17</v>
      </c>
      <c r="J2512" s="156">
        <v>52795.35</v>
      </c>
      <c r="K2512" s="131">
        <f t="shared" si="170"/>
        <v>157545.54</v>
      </c>
      <c r="L2512" s="134">
        <v>0.1792</v>
      </c>
    </row>
    <row r="2513" spans="3:12">
      <c r="C2513" s="161">
        <f t="shared" si="168"/>
        <v>2021</v>
      </c>
      <c r="D2513" s="35" t="s">
        <v>297</v>
      </c>
      <c r="E2513" s="227">
        <v>44197</v>
      </c>
      <c r="F2513" s="156">
        <v>909959.4</v>
      </c>
      <c r="G2513" s="131">
        <f t="shared" si="169"/>
        <v>163064.72448</v>
      </c>
      <c r="H2513" s="156">
        <v>1046.2</v>
      </c>
      <c r="I2513" s="156">
        <v>240076.38</v>
      </c>
      <c r="J2513" s="156">
        <v>0</v>
      </c>
      <c r="K2513" s="131">
        <f t="shared" si="170"/>
        <v>241122.58000000002</v>
      </c>
      <c r="L2513" s="134">
        <v>0.1792</v>
      </c>
    </row>
    <row r="2514" spans="3:12">
      <c r="C2514" s="161">
        <f t="shared" si="168"/>
        <v>2021</v>
      </c>
      <c r="D2514" s="35" t="s">
        <v>297</v>
      </c>
      <c r="E2514" s="227">
        <v>44229</v>
      </c>
      <c r="F2514" s="156">
        <v>826302.29</v>
      </c>
      <c r="G2514" s="131">
        <f t="shared" si="169"/>
        <v>148073.370368</v>
      </c>
      <c r="H2514" s="156">
        <v>20818.63</v>
      </c>
      <c r="I2514" s="156">
        <v>139791.64000000001</v>
      </c>
      <c r="J2514" s="156">
        <v>0</v>
      </c>
      <c r="K2514" s="131">
        <f t="shared" si="170"/>
        <v>160610.27000000002</v>
      </c>
      <c r="L2514" s="134">
        <v>0.1792</v>
      </c>
    </row>
    <row r="2515" spans="3:12">
      <c r="C2515" s="161">
        <f t="shared" si="168"/>
        <v>2021</v>
      </c>
      <c r="D2515" s="35" t="s">
        <v>297</v>
      </c>
      <c r="E2515" s="227">
        <v>44258</v>
      </c>
      <c r="F2515" s="156">
        <v>782773.96</v>
      </c>
      <c r="G2515" s="131">
        <f t="shared" si="169"/>
        <v>140273.093632</v>
      </c>
      <c r="H2515" s="156">
        <v>13689.96</v>
      </c>
      <c r="I2515" s="156">
        <v>187777.44</v>
      </c>
      <c r="J2515" s="156">
        <v>564.49</v>
      </c>
      <c r="K2515" s="131">
        <f t="shared" si="170"/>
        <v>202031.88999999998</v>
      </c>
      <c r="L2515" s="134">
        <v>0.1792</v>
      </c>
    </row>
    <row r="2516" spans="3:12">
      <c r="C2516" s="161">
        <f t="shared" si="168"/>
        <v>2021</v>
      </c>
      <c r="D2516" s="35" t="s">
        <v>297</v>
      </c>
      <c r="E2516" s="227">
        <v>44290</v>
      </c>
      <c r="F2516" s="156">
        <v>876233.83</v>
      </c>
      <c r="G2516" s="131">
        <f t="shared" si="169"/>
        <v>157021.10233599998</v>
      </c>
      <c r="H2516" s="156">
        <v>11390.34</v>
      </c>
      <c r="I2516" s="156">
        <v>119930.68</v>
      </c>
      <c r="J2516" s="156">
        <v>0</v>
      </c>
      <c r="K2516" s="131">
        <f t="shared" si="170"/>
        <v>131321.01999999999</v>
      </c>
      <c r="L2516" s="134">
        <v>0.1792</v>
      </c>
    </row>
    <row r="2517" spans="3:12">
      <c r="C2517" s="161">
        <f t="shared" si="168"/>
        <v>2021</v>
      </c>
      <c r="D2517" s="35" t="s">
        <v>297</v>
      </c>
      <c r="E2517" s="227">
        <v>44321</v>
      </c>
      <c r="F2517" s="156">
        <v>774156.02</v>
      </c>
      <c r="G2517" s="131">
        <f t="shared" si="169"/>
        <v>138728.75878400001</v>
      </c>
      <c r="H2517" s="156">
        <v>8104.09</v>
      </c>
      <c r="I2517" s="156">
        <v>142098.71</v>
      </c>
      <c r="J2517" s="156">
        <v>10573.54</v>
      </c>
      <c r="K2517" s="131">
        <f t="shared" si="170"/>
        <v>160776.34</v>
      </c>
      <c r="L2517" s="134">
        <v>0.1792</v>
      </c>
    </row>
    <row r="2518" spans="3:12">
      <c r="C2518" s="161">
        <f t="shared" si="168"/>
        <v>2021</v>
      </c>
      <c r="D2518" s="35" t="s">
        <v>297</v>
      </c>
      <c r="E2518" s="227">
        <v>44353</v>
      </c>
      <c r="F2518" s="156">
        <v>755158.58</v>
      </c>
      <c r="G2518" s="131">
        <f t="shared" si="169"/>
        <v>135324.41753599999</v>
      </c>
      <c r="H2518" s="156">
        <v>9223.5499999999993</v>
      </c>
      <c r="I2518" s="156">
        <v>26446.36</v>
      </c>
      <c r="J2518" s="156">
        <v>0</v>
      </c>
      <c r="K2518" s="131">
        <f t="shared" si="170"/>
        <v>35669.910000000003</v>
      </c>
      <c r="L2518" s="134">
        <v>0.1792</v>
      </c>
    </row>
    <row r="2519" spans="3:12">
      <c r="C2519" s="161">
        <f t="shared" si="168"/>
        <v>2015</v>
      </c>
      <c r="D2519" s="35" t="s">
        <v>298</v>
      </c>
      <c r="E2519" s="227">
        <v>42309</v>
      </c>
      <c r="F2519" s="156">
        <v>83352.89</v>
      </c>
      <c r="G2519" s="131">
        <f t="shared" si="169"/>
        <v>14936.837888</v>
      </c>
      <c r="H2519" s="156">
        <v>114</v>
      </c>
      <c r="I2519" s="156">
        <v>0</v>
      </c>
      <c r="J2519" s="156">
        <v>0</v>
      </c>
      <c r="K2519" s="131">
        <f t="shared" si="170"/>
        <v>114</v>
      </c>
      <c r="L2519" s="134">
        <v>0.1792</v>
      </c>
    </row>
    <row r="2520" spans="3:12">
      <c r="C2520" s="161">
        <f t="shared" si="168"/>
        <v>2015</v>
      </c>
      <c r="D2520" s="35" t="s">
        <v>298</v>
      </c>
      <c r="E2520" s="227">
        <v>42339</v>
      </c>
      <c r="F2520" s="156">
        <v>76742.17</v>
      </c>
      <c r="G2520" s="131">
        <f t="shared" si="169"/>
        <v>13752.196864</v>
      </c>
      <c r="H2520" s="156">
        <v>447.35</v>
      </c>
      <c r="I2520" s="156">
        <v>0</v>
      </c>
      <c r="J2520" s="156">
        <v>0</v>
      </c>
      <c r="K2520" s="131">
        <f t="shared" si="170"/>
        <v>447.35</v>
      </c>
      <c r="L2520" s="134">
        <v>0.1792</v>
      </c>
    </row>
    <row r="2521" spans="3:12">
      <c r="C2521" s="161">
        <f t="shared" si="168"/>
        <v>2016</v>
      </c>
      <c r="D2521" s="35" t="s">
        <v>298</v>
      </c>
      <c r="E2521" s="227">
        <v>42370</v>
      </c>
      <c r="F2521" s="156">
        <v>87585.53</v>
      </c>
      <c r="G2521" s="131">
        <f t="shared" si="169"/>
        <v>15695.326976</v>
      </c>
      <c r="H2521" s="156">
        <v>323.35000000000002</v>
      </c>
      <c r="I2521" s="156">
        <v>0</v>
      </c>
      <c r="J2521" s="156">
        <v>0</v>
      </c>
      <c r="K2521" s="131">
        <f t="shared" si="170"/>
        <v>323.35000000000002</v>
      </c>
      <c r="L2521" s="134">
        <v>0.1792</v>
      </c>
    </row>
    <row r="2522" spans="3:12">
      <c r="C2522" s="161">
        <f t="shared" si="168"/>
        <v>2016</v>
      </c>
      <c r="D2522" s="35" t="s">
        <v>298</v>
      </c>
      <c r="E2522" s="227">
        <v>42401</v>
      </c>
      <c r="F2522" s="156">
        <v>81720.38</v>
      </c>
      <c r="G2522" s="131">
        <f t="shared" si="169"/>
        <v>14644.292096000001</v>
      </c>
      <c r="H2522" s="156">
        <v>1362.17</v>
      </c>
      <c r="I2522" s="156">
        <v>0</v>
      </c>
      <c r="J2522" s="156">
        <v>0</v>
      </c>
      <c r="K2522" s="131">
        <f t="shared" si="170"/>
        <v>1362.17</v>
      </c>
      <c r="L2522" s="134">
        <v>0.1792</v>
      </c>
    </row>
    <row r="2523" spans="3:12">
      <c r="C2523" s="161">
        <f t="shared" si="168"/>
        <v>2016</v>
      </c>
      <c r="D2523" s="35" t="s">
        <v>298</v>
      </c>
      <c r="E2523" s="227">
        <v>42430</v>
      </c>
      <c r="F2523" s="156">
        <v>75875.09</v>
      </c>
      <c r="G2523" s="131">
        <f t="shared" si="169"/>
        <v>13596.816127999999</v>
      </c>
      <c r="H2523" s="156">
        <v>420.86</v>
      </c>
      <c r="I2523" s="156">
        <v>0</v>
      </c>
      <c r="J2523" s="156">
        <v>0</v>
      </c>
      <c r="K2523" s="131">
        <f t="shared" si="170"/>
        <v>420.86</v>
      </c>
      <c r="L2523" s="134">
        <v>0.1792</v>
      </c>
    </row>
    <row r="2524" spans="3:12">
      <c r="C2524" s="161">
        <f t="shared" si="168"/>
        <v>2016</v>
      </c>
      <c r="D2524" s="35" t="s">
        <v>298</v>
      </c>
      <c r="E2524" s="227">
        <v>42461</v>
      </c>
      <c r="F2524" s="156">
        <v>92917.32</v>
      </c>
      <c r="G2524" s="131">
        <f t="shared" si="169"/>
        <v>16650.783744</v>
      </c>
      <c r="H2524" s="156">
        <v>5389</v>
      </c>
      <c r="I2524" s="156">
        <v>0</v>
      </c>
      <c r="J2524" s="156">
        <v>0</v>
      </c>
      <c r="K2524" s="131">
        <f t="shared" si="170"/>
        <v>5389</v>
      </c>
      <c r="L2524" s="134">
        <v>0.1792</v>
      </c>
    </row>
    <row r="2525" spans="3:12">
      <c r="C2525" s="161">
        <f t="shared" si="168"/>
        <v>2016</v>
      </c>
      <c r="D2525" s="35" t="s">
        <v>298</v>
      </c>
      <c r="E2525" s="227">
        <v>42491</v>
      </c>
      <c r="F2525" s="156">
        <v>79069.850000000006</v>
      </c>
      <c r="G2525" s="131">
        <f t="shared" si="169"/>
        <v>14169.317120000002</v>
      </c>
      <c r="H2525" s="156">
        <v>89.18</v>
      </c>
      <c r="I2525" s="156">
        <v>0</v>
      </c>
      <c r="J2525" s="156">
        <v>0</v>
      </c>
      <c r="K2525" s="131">
        <f t="shared" si="170"/>
        <v>89.18</v>
      </c>
      <c r="L2525" s="134">
        <v>0.1792</v>
      </c>
    </row>
    <row r="2526" spans="3:12">
      <c r="C2526" s="161">
        <f t="shared" si="168"/>
        <v>2016</v>
      </c>
      <c r="D2526" s="35" t="s">
        <v>298</v>
      </c>
      <c r="E2526" s="227">
        <v>42522</v>
      </c>
      <c r="F2526" s="156">
        <v>76933.83</v>
      </c>
      <c r="G2526" s="131">
        <f t="shared" si="169"/>
        <v>13786.542336</v>
      </c>
      <c r="H2526" s="156">
        <v>45.91</v>
      </c>
      <c r="I2526" s="156">
        <v>0</v>
      </c>
      <c r="J2526" s="156">
        <v>7760</v>
      </c>
      <c r="K2526" s="131">
        <f t="shared" si="170"/>
        <v>7805.91</v>
      </c>
      <c r="L2526" s="134">
        <v>0.1792</v>
      </c>
    </row>
    <row r="2527" spans="3:12">
      <c r="C2527" s="161">
        <f t="shared" si="168"/>
        <v>2016</v>
      </c>
      <c r="D2527" s="35" t="s">
        <v>298</v>
      </c>
      <c r="E2527" s="227">
        <v>42552</v>
      </c>
      <c r="F2527" s="156">
        <v>89504.3</v>
      </c>
      <c r="G2527" s="131">
        <f t="shared" si="169"/>
        <v>16039.17056</v>
      </c>
      <c r="H2527" s="156">
        <v>0</v>
      </c>
      <c r="I2527" s="156">
        <v>277592.84000000003</v>
      </c>
      <c r="J2527" s="156">
        <v>3980</v>
      </c>
      <c r="K2527" s="131">
        <f t="shared" si="170"/>
        <v>281572.84000000003</v>
      </c>
      <c r="L2527" s="134">
        <v>0.1792</v>
      </c>
    </row>
    <row r="2528" spans="3:12">
      <c r="C2528" s="161">
        <f t="shared" si="168"/>
        <v>2016</v>
      </c>
      <c r="D2528" s="35" t="s">
        <v>298</v>
      </c>
      <c r="E2528" s="227">
        <v>42583</v>
      </c>
      <c r="F2528" s="156">
        <v>86488.01</v>
      </c>
      <c r="G2528" s="131">
        <f t="shared" si="169"/>
        <v>15498.651392</v>
      </c>
      <c r="H2528" s="156">
        <v>1147.82</v>
      </c>
      <c r="I2528" s="156">
        <v>13852.13</v>
      </c>
      <c r="J2528" s="156">
        <v>1974.66</v>
      </c>
      <c r="K2528" s="131">
        <f t="shared" si="170"/>
        <v>16974.61</v>
      </c>
      <c r="L2528" s="134">
        <v>0.1792</v>
      </c>
    </row>
    <row r="2529" spans="3:12">
      <c r="C2529" s="161">
        <f t="shared" si="168"/>
        <v>2016</v>
      </c>
      <c r="D2529" s="35" t="s">
        <v>298</v>
      </c>
      <c r="E2529" s="227">
        <v>42614</v>
      </c>
      <c r="F2529" s="156">
        <v>89940.98</v>
      </c>
      <c r="G2529" s="131">
        <f t="shared" si="169"/>
        <v>16117.423615999998</v>
      </c>
      <c r="H2529" s="156">
        <v>564.12</v>
      </c>
      <c r="I2529" s="156">
        <v>195292.9</v>
      </c>
      <c r="J2529" s="156">
        <v>0</v>
      </c>
      <c r="K2529" s="131">
        <f t="shared" si="170"/>
        <v>195857.02</v>
      </c>
      <c r="L2529" s="134">
        <v>0.1792</v>
      </c>
    </row>
    <row r="2530" spans="3:12">
      <c r="C2530" s="161">
        <f t="shared" si="168"/>
        <v>2016</v>
      </c>
      <c r="D2530" s="35" t="s">
        <v>298</v>
      </c>
      <c r="E2530" s="227">
        <v>42644</v>
      </c>
      <c r="F2530" s="156">
        <v>93944.39</v>
      </c>
      <c r="G2530" s="131">
        <f t="shared" si="169"/>
        <v>16834.834687999999</v>
      </c>
      <c r="H2530" s="156">
        <v>201.48</v>
      </c>
      <c r="I2530" s="156">
        <v>44608.89</v>
      </c>
      <c r="J2530" s="156">
        <v>0</v>
      </c>
      <c r="K2530" s="131">
        <f t="shared" si="170"/>
        <v>44810.37</v>
      </c>
      <c r="L2530" s="134">
        <v>0.1792</v>
      </c>
    </row>
    <row r="2531" spans="3:12">
      <c r="C2531" s="161">
        <f t="shared" si="168"/>
        <v>2016</v>
      </c>
      <c r="D2531" s="35" t="s">
        <v>298</v>
      </c>
      <c r="E2531" s="227">
        <v>42675</v>
      </c>
      <c r="F2531" s="156">
        <v>106800.02</v>
      </c>
      <c r="G2531" s="131">
        <f t="shared" si="169"/>
        <v>19138.563584</v>
      </c>
      <c r="H2531" s="156">
        <v>0</v>
      </c>
      <c r="I2531" s="156">
        <v>4911.99</v>
      </c>
      <c r="J2531" s="156">
        <v>0</v>
      </c>
      <c r="K2531" s="131">
        <f t="shared" si="170"/>
        <v>4911.99</v>
      </c>
      <c r="L2531" s="134">
        <v>0.1792</v>
      </c>
    </row>
    <row r="2532" spans="3:12">
      <c r="C2532" s="161">
        <f t="shared" si="168"/>
        <v>2016</v>
      </c>
      <c r="D2532" s="35" t="s">
        <v>298</v>
      </c>
      <c r="E2532" s="227">
        <v>42705</v>
      </c>
      <c r="F2532" s="156">
        <v>99016.21</v>
      </c>
      <c r="G2532" s="131">
        <f t="shared" si="169"/>
        <v>17743.704831999999</v>
      </c>
      <c r="H2532" s="156">
        <v>192.75</v>
      </c>
      <c r="I2532" s="156">
        <v>0</v>
      </c>
      <c r="J2532" s="156">
        <v>0</v>
      </c>
      <c r="K2532" s="131">
        <f t="shared" si="170"/>
        <v>192.75</v>
      </c>
      <c r="L2532" s="134">
        <v>0.1792</v>
      </c>
    </row>
    <row r="2533" spans="3:12">
      <c r="C2533" s="161">
        <f t="shared" si="168"/>
        <v>2017</v>
      </c>
      <c r="D2533" s="35" t="s">
        <v>298</v>
      </c>
      <c r="E2533" s="227">
        <v>42736</v>
      </c>
      <c r="F2533" s="156">
        <v>99329.919999999998</v>
      </c>
      <c r="G2533" s="131">
        <f t="shared" si="169"/>
        <v>17799.921663999998</v>
      </c>
      <c r="H2533" s="156">
        <v>158.46</v>
      </c>
      <c r="I2533" s="156">
        <v>195292.9</v>
      </c>
      <c r="J2533" s="156">
        <v>0</v>
      </c>
      <c r="K2533" s="131">
        <f t="shared" si="170"/>
        <v>195451.36</v>
      </c>
      <c r="L2533" s="134">
        <v>0.1792</v>
      </c>
    </row>
    <row r="2534" spans="3:12">
      <c r="C2534" s="161">
        <f t="shared" si="168"/>
        <v>2017</v>
      </c>
      <c r="D2534" s="35" t="s">
        <v>298</v>
      </c>
      <c r="E2534" s="227">
        <v>42767</v>
      </c>
      <c r="F2534" s="156">
        <v>92931.43</v>
      </c>
      <c r="G2534" s="131">
        <f t="shared" si="169"/>
        <v>16653.312255999997</v>
      </c>
      <c r="H2534" s="156">
        <v>0</v>
      </c>
      <c r="I2534" s="156">
        <v>32857.26</v>
      </c>
      <c r="J2534" s="156">
        <v>0</v>
      </c>
      <c r="K2534" s="131">
        <f t="shared" si="170"/>
        <v>32857.26</v>
      </c>
      <c r="L2534" s="134">
        <v>0.1792</v>
      </c>
    </row>
    <row r="2535" spans="3:12">
      <c r="C2535" s="161">
        <f t="shared" si="168"/>
        <v>2017</v>
      </c>
      <c r="D2535" s="35" t="s">
        <v>298</v>
      </c>
      <c r="E2535" s="227">
        <v>42795</v>
      </c>
      <c r="F2535" s="156">
        <v>88504.84</v>
      </c>
      <c r="G2535" s="131">
        <f t="shared" si="169"/>
        <v>15860.067327999999</v>
      </c>
      <c r="H2535" s="156">
        <v>899.66</v>
      </c>
      <c r="I2535" s="156">
        <v>66228.639999999999</v>
      </c>
      <c r="J2535" s="156">
        <v>790</v>
      </c>
      <c r="K2535" s="131">
        <f t="shared" si="170"/>
        <v>67918.3</v>
      </c>
      <c r="L2535" s="134">
        <v>0.1792</v>
      </c>
    </row>
    <row r="2536" spans="3:12">
      <c r="C2536" s="161">
        <f t="shared" si="168"/>
        <v>2017</v>
      </c>
      <c r="D2536" s="35" t="s">
        <v>298</v>
      </c>
      <c r="E2536" s="227">
        <v>42826</v>
      </c>
      <c r="F2536" s="156">
        <v>85799.21</v>
      </c>
      <c r="G2536" s="131">
        <f t="shared" si="169"/>
        <v>15375.218432000001</v>
      </c>
      <c r="H2536" s="156">
        <v>0</v>
      </c>
      <c r="I2536" s="156">
        <v>0</v>
      </c>
      <c r="J2536" s="156">
        <v>0</v>
      </c>
      <c r="K2536" s="131">
        <f t="shared" si="170"/>
        <v>0</v>
      </c>
      <c r="L2536" s="134">
        <v>0.1792</v>
      </c>
    </row>
    <row r="2537" spans="3:12">
      <c r="C2537" s="161">
        <f t="shared" si="168"/>
        <v>2017</v>
      </c>
      <c r="D2537" s="35" t="s">
        <v>298</v>
      </c>
      <c r="E2537" s="227">
        <v>42856</v>
      </c>
      <c r="F2537" s="156">
        <v>86513.61</v>
      </c>
      <c r="G2537" s="131">
        <f t="shared" si="169"/>
        <v>15503.238912000001</v>
      </c>
      <c r="H2537" s="156">
        <v>115.78</v>
      </c>
      <c r="I2537" s="156">
        <v>0</v>
      </c>
      <c r="J2537" s="156">
        <v>0</v>
      </c>
      <c r="K2537" s="131">
        <f t="shared" si="170"/>
        <v>115.78</v>
      </c>
      <c r="L2537" s="134">
        <v>0.1792</v>
      </c>
    </row>
    <row r="2538" spans="3:12">
      <c r="C2538" s="161">
        <f t="shared" si="168"/>
        <v>2017</v>
      </c>
      <c r="D2538" s="35" t="s">
        <v>298</v>
      </c>
      <c r="E2538" s="227">
        <v>42887</v>
      </c>
      <c r="F2538" s="156">
        <v>84903.39</v>
      </c>
      <c r="G2538" s="131">
        <f t="shared" si="169"/>
        <v>15214.687488</v>
      </c>
      <c r="H2538" s="156">
        <v>2921.5</v>
      </c>
      <c r="I2538" s="156">
        <v>79142.52</v>
      </c>
      <c r="J2538" s="156">
        <v>0</v>
      </c>
      <c r="K2538" s="131">
        <f t="shared" si="170"/>
        <v>82064.02</v>
      </c>
      <c r="L2538" s="134">
        <v>0.1792</v>
      </c>
    </row>
    <row r="2539" spans="3:12">
      <c r="C2539" s="161">
        <f t="shared" si="168"/>
        <v>2017</v>
      </c>
      <c r="D2539" s="35" t="s">
        <v>298</v>
      </c>
      <c r="E2539" s="227">
        <v>42917</v>
      </c>
      <c r="F2539" s="156">
        <v>89287.16</v>
      </c>
      <c r="G2539" s="131">
        <f t="shared" si="169"/>
        <v>16000.259072000001</v>
      </c>
      <c r="H2539" s="156">
        <v>215.57</v>
      </c>
      <c r="I2539" s="156">
        <v>11238.97</v>
      </c>
      <c r="J2539" s="156">
        <v>0</v>
      </c>
      <c r="K2539" s="131">
        <f t="shared" si="170"/>
        <v>11454.539999999999</v>
      </c>
      <c r="L2539" s="134">
        <v>0.1792</v>
      </c>
    </row>
    <row r="2540" spans="3:12">
      <c r="C2540" s="161">
        <f t="shared" si="168"/>
        <v>2017</v>
      </c>
      <c r="D2540" s="35" t="s">
        <v>298</v>
      </c>
      <c r="E2540" s="227">
        <v>42948</v>
      </c>
      <c r="F2540" s="156">
        <v>93665.26</v>
      </c>
      <c r="G2540" s="131">
        <f t="shared" si="169"/>
        <v>16784.814591999999</v>
      </c>
      <c r="H2540" s="156">
        <v>22384.32</v>
      </c>
      <c r="I2540" s="156">
        <v>170016.45</v>
      </c>
      <c r="J2540" s="156">
        <v>0</v>
      </c>
      <c r="K2540" s="131">
        <f t="shared" si="170"/>
        <v>192400.77000000002</v>
      </c>
      <c r="L2540" s="134">
        <v>0.1792</v>
      </c>
    </row>
    <row r="2541" spans="3:12">
      <c r="C2541" s="161">
        <f t="shared" si="168"/>
        <v>2017</v>
      </c>
      <c r="D2541" s="35" t="s">
        <v>298</v>
      </c>
      <c r="E2541" s="227">
        <v>42979</v>
      </c>
      <c r="F2541" s="156">
        <v>99321.31</v>
      </c>
      <c r="G2541" s="131">
        <f t="shared" si="169"/>
        <v>17798.378752000001</v>
      </c>
      <c r="H2541" s="156">
        <v>438.87</v>
      </c>
      <c r="I2541" s="156">
        <v>0</v>
      </c>
      <c r="J2541" s="156">
        <v>0</v>
      </c>
      <c r="K2541" s="131">
        <f t="shared" si="170"/>
        <v>438.87</v>
      </c>
      <c r="L2541" s="134">
        <v>0.1792</v>
      </c>
    </row>
    <row r="2542" spans="3:12">
      <c r="C2542" s="161">
        <f t="shared" si="168"/>
        <v>2017</v>
      </c>
      <c r="D2542" s="35" t="s">
        <v>298</v>
      </c>
      <c r="E2542" s="227">
        <v>43009</v>
      </c>
      <c r="F2542" s="156">
        <v>92916.27</v>
      </c>
      <c r="G2542" s="131">
        <f t="shared" si="169"/>
        <v>16650.595583999999</v>
      </c>
      <c r="H2542" s="156">
        <v>85.71</v>
      </c>
      <c r="I2542" s="156">
        <v>0</v>
      </c>
      <c r="J2542" s="156">
        <v>0</v>
      </c>
      <c r="K2542" s="131">
        <f t="shared" si="170"/>
        <v>85.71</v>
      </c>
      <c r="L2542" s="134">
        <v>0.1792</v>
      </c>
    </row>
    <row r="2543" spans="3:12">
      <c r="C2543" s="161">
        <f t="shared" si="168"/>
        <v>2017</v>
      </c>
      <c r="D2543" s="35" t="s">
        <v>298</v>
      </c>
      <c r="E2543" s="227">
        <v>43040</v>
      </c>
      <c r="F2543" s="156">
        <v>92048.79</v>
      </c>
      <c r="G2543" s="131">
        <f t="shared" si="169"/>
        <v>16495.143167999999</v>
      </c>
      <c r="H2543" s="156">
        <v>138.26</v>
      </c>
      <c r="I2543" s="156">
        <v>0</v>
      </c>
      <c r="J2543" s="156">
        <v>0</v>
      </c>
      <c r="K2543" s="131">
        <f t="shared" si="170"/>
        <v>138.26</v>
      </c>
      <c r="L2543" s="134">
        <v>0.1792</v>
      </c>
    </row>
    <row r="2544" spans="3:12">
      <c r="C2544" s="161">
        <f t="shared" si="168"/>
        <v>2017</v>
      </c>
      <c r="D2544" s="35" t="s">
        <v>298</v>
      </c>
      <c r="E2544" s="227">
        <v>43070</v>
      </c>
      <c r="F2544" s="156">
        <v>90695.58</v>
      </c>
      <c r="G2544" s="131">
        <f t="shared" si="169"/>
        <v>16252.647935999999</v>
      </c>
      <c r="H2544" s="156">
        <v>0</v>
      </c>
      <c r="I2544" s="156">
        <v>0</v>
      </c>
      <c r="J2544" s="156">
        <v>0</v>
      </c>
      <c r="K2544" s="131">
        <f t="shared" si="170"/>
        <v>0</v>
      </c>
      <c r="L2544" s="134">
        <v>0.1792</v>
      </c>
    </row>
    <row r="2545" spans="3:12">
      <c r="C2545" s="161">
        <f t="shared" si="168"/>
        <v>2018</v>
      </c>
      <c r="D2545" s="35" t="s">
        <v>298</v>
      </c>
      <c r="E2545" s="227">
        <v>43101</v>
      </c>
      <c r="F2545" s="156">
        <v>95065.63</v>
      </c>
      <c r="G2545" s="131">
        <f t="shared" si="169"/>
        <v>17035.760896</v>
      </c>
      <c r="H2545" s="156">
        <v>162.72999999999999</v>
      </c>
      <c r="I2545" s="156">
        <v>0</v>
      </c>
      <c r="J2545" s="156">
        <v>0</v>
      </c>
      <c r="K2545" s="131">
        <f t="shared" si="170"/>
        <v>162.72999999999999</v>
      </c>
      <c r="L2545" s="134">
        <v>0.1792</v>
      </c>
    </row>
    <row r="2546" spans="3:12">
      <c r="C2546" s="161">
        <f t="shared" si="168"/>
        <v>2018</v>
      </c>
      <c r="D2546" s="35" t="s">
        <v>298</v>
      </c>
      <c r="E2546" s="227">
        <v>43132</v>
      </c>
      <c r="F2546" s="156">
        <v>103221.21</v>
      </c>
      <c r="G2546" s="131">
        <f t="shared" si="169"/>
        <v>18497.240832</v>
      </c>
      <c r="H2546" s="156">
        <v>121.78</v>
      </c>
      <c r="I2546" s="156">
        <v>35697.050000000003</v>
      </c>
      <c r="J2546" s="156">
        <v>0</v>
      </c>
      <c r="K2546" s="131">
        <f t="shared" si="170"/>
        <v>35818.83</v>
      </c>
      <c r="L2546" s="134">
        <v>0.1792</v>
      </c>
    </row>
    <row r="2547" spans="3:12">
      <c r="C2547" s="161">
        <f t="shared" si="168"/>
        <v>2018</v>
      </c>
      <c r="D2547" s="35" t="s">
        <v>298</v>
      </c>
      <c r="E2547" s="227">
        <v>43160</v>
      </c>
      <c r="F2547" s="156">
        <v>98184.65</v>
      </c>
      <c r="G2547" s="131">
        <f t="shared" si="169"/>
        <v>17594.689279999999</v>
      </c>
      <c r="H2547" s="156">
        <v>401.32</v>
      </c>
      <c r="I2547" s="156">
        <v>0</v>
      </c>
      <c r="J2547" s="156">
        <v>0</v>
      </c>
      <c r="K2547" s="131">
        <f t="shared" si="170"/>
        <v>401.32</v>
      </c>
      <c r="L2547" s="134">
        <v>0.1792</v>
      </c>
    </row>
    <row r="2548" spans="3:12">
      <c r="C2548" s="161">
        <f t="shared" si="168"/>
        <v>2018</v>
      </c>
      <c r="D2548" s="35" t="s">
        <v>298</v>
      </c>
      <c r="E2548" s="227">
        <v>43191</v>
      </c>
      <c r="F2548" s="156">
        <v>106024.47</v>
      </c>
      <c r="G2548" s="131">
        <f t="shared" si="169"/>
        <v>18999.585024</v>
      </c>
      <c r="H2548" s="156">
        <v>1636.65</v>
      </c>
      <c r="I2548" s="156">
        <v>0</v>
      </c>
      <c r="J2548" s="156">
        <v>0</v>
      </c>
      <c r="K2548" s="131">
        <f t="shared" si="170"/>
        <v>1636.65</v>
      </c>
      <c r="L2548" s="134">
        <v>0.1792</v>
      </c>
    </row>
    <row r="2549" spans="3:12">
      <c r="C2549" s="161">
        <f t="shared" si="168"/>
        <v>2018</v>
      </c>
      <c r="D2549" s="35" t="s">
        <v>298</v>
      </c>
      <c r="E2549" s="227">
        <v>43221</v>
      </c>
      <c r="F2549" s="156">
        <v>105290.08</v>
      </c>
      <c r="G2549" s="131">
        <f t="shared" si="169"/>
        <v>18867.982336000001</v>
      </c>
      <c r="H2549" s="156">
        <v>1334.98</v>
      </c>
      <c r="I2549" s="156">
        <v>0</v>
      </c>
      <c r="J2549" s="156">
        <v>0</v>
      </c>
      <c r="K2549" s="131">
        <f t="shared" si="170"/>
        <v>1334.98</v>
      </c>
      <c r="L2549" s="134">
        <v>0.1792</v>
      </c>
    </row>
    <row r="2550" spans="3:12">
      <c r="C2550" s="161">
        <f t="shared" si="168"/>
        <v>2018</v>
      </c>
      <c r="D2550" s="35" t="s">
        <v>298</v>
      </c>
      <c r="E2550" s="227">
        <v>43252</v>
      </c>
      <c r="F2550" s="156">
        <v>98196.54</v>
      </c>
      <c r="G2550" s="131">
        <f t="shared" si="169"/>
        <v>17596.819968</v>
      </c>
      <c r="H2550" s="156">
        <v>0</v>
      </c>
      <c r="I2550" s="156">
        <v>0</v>
      </c>
      <c r="J2550" s="156">
        <v>0</v>
      </c>
      <c r="K2550" s="131">
        <f t="shared" si="170"/>
        <v>0</v>
      </c>
      <c r="L2550" s="134">
        <v>0.1792</v>
      </c>
    </row>
    <row r="2551" spans="3:12">
      <c r="C2551" s="161">
        <f t="shared" si="168"/>
        <v>2018</v>
      </c>
      <c r="D2551" s="35" t="s">
        <v>298</v>
      </c>
      <c r="E2551" s="227">
        <v>43282</v>
      </c>
      <c r="F2551" s="156">
        <v>108113.65</v>
      </c>
      <c r="G2551" s="131">
        <f t="shared" si="169"/>
        <v>19373.966079999998</v>
      </c>
      <c r="H2551" s="156">
        <v>0</v>
      </c>
      <c r="I2551" s="156">
        <v>0</v>
      </c>
      <c r="J2551" s="156">
        <v>0</v>
      </c>
      <c r="K2551" s="131">
        <f t="shared" si="170"/>
        <v>0</v>
      </c>
      <c r="L2551" s="134">
        <v>0.1792</v>
      </c>
    </row>
    <row r="2552" spans="3:12">
      <c r="C2552" s="161">
        <f t="shared" si="168"/>
        <v>2018</v>
      </c>
      <c r="D2552" s="35" t="s">
        <v>298</v>
      </c>
      <c r="E2552" s="227">
        <v>43313</v>
      </c>
      <c r="F2552" s="156">
        <v>99044.17</v>
      </c>
      <c r="G2552" s="131">
        <f t="shared" si="169"/>
        <v>17748.715263999999</v>
      </c>
      <c r="H2552" s="156">
        <v>1363.25</v>
      </c>
      <c r="I2552" s="156">
        <v>0</v>
      </c>
      <c r="J2552" s="156">
        <v>0</v>
      </c>
      <c r="K2552" s="131">
        <f t="shared" si="170"/>
        <v>1363.25</v>
      </c>
      <c r="L2552" s="134">
        <v>0.1792</v>
      </c>
    </row>
    <row r="2553" spans="3:12">
      <c r="C2553" s="161">
        <f t="shared" si="168"/>
        <v>2018</v>
      </c>
      <c r="D2553" s="35" t="s">
        <v>298</v>
      </c>
      <c r="E2553" s="227">
        <v>43344</v>
      </c>
      <c r="F2553" s="156">
        <v>103931.48</v>
      </c>
      <c r="G2553" s="131">
        <f t="shared" si="169"/>
        <v>18624.521215999997</v>
      </c>
      <c r="H2553" s="156">
        <v>0</v>
      </c>
      <c r="I2553" s="156">
        <v>0</v>
      </c>
      <c r="J2553" s="156">
        <v>0</v>
      </c>
      <c r="K2553" s="131">
        <f t="shared" si="170"/>
        <v>0</v>
      </c>
      <c r="L2553" s="134">
        <v>0.1792</v>
      </c>
    </row>
    <row r="2554" spans="3:12">
      <c r="C2554" s="161">
        <f t="shared" si="168"/>
        <v>2018</v>
      </c>
      <c r="D2554" s="35" t="s">
        <v>298</v>
      </c>
      <c r="E2554" s="227">
        <v>43374</v>
      </c>
      <c r="F2554" s="156">
        <v>102429</v>
      </c>
      <c r="G2554" s="131">
        <f t="shared" si="169"/>
        <v>18355.2768</v>
      </c>
      <c r="H2554" s="156">
        <v>850.15</v>
      </c>
      <c r="I2554" s="156">
        <v>0</v>
      </c>
      <c r="J2554" s="156">
        <v>0</v>
      </c>
      <c r="K2554" s="131">
        <f t="shared" si="170"/>
        <v>850.15</v>
      </c>
      <c r="L2554" s="134">
        <v>0.1792</v>
      </c>
    </row>
    <row r="2555" spans="3:12">
      <c r="C2555" s="161">
        <f t="shared" si="168"/>
        <v>2018</v>
      </c>
      <c r="D2555" s="35" t="s">
        <v>298</v>
      </c>
      <c r="E2555" s="227">
        <v>43405</v>
      </c>
      <c r="F2555" s="156">
        <v>110569.99965</v>
      </c>
      <c r="G2555" s="131">
        <f t="shared" si="169"/>
        <v>19814.143937279998</v>
      </c>
      <c r="H2555" s="156">
        <v>0</v>
      </c>
      <c r="I2555" s="156">
        <v>0</v>
      </c>
      <c r="J2555" s="156">
        <v>0</v>
      </c>
      <c r="K2555" s="131">
        <f t="shared" si="170"/>
        <v>0</v>
      </c>
      <c r="L2555" s="134">
        <v>0.1792</v>
      </c>
    </row>
    <row r="2556" spans="3:12">
      <c r="C2556" s="161">
        <f t="shared" si="168"/>
        <v>2018</v>
      </c>
      <c r="D2556" s="35" t="s">
        <v>298</v>
      </c>
      <c r="E2556" s="227">
        <v>43435</v>
      </c>
      <c r="F2556" s="156">
        <v>119275.54</v>
      </c>
      <c r="G2556" s="131">
        <f t="shared" si="169"/>
        <v>21374.176767999998</v>
      </c>
      <c r="H2556" s="156">
        <v>498.08</v>
      </c>
      <c r="I2556" s="156">
        <v>0</v>
      </c>
      <c r="J2556" s="156">
        <v>0</v>
      </c>
      <c r="K2556" s="131">
        <f t="shared" si="170"/>
        <v>498.08</v>
      </c>
      <c r="L2556" s="134">
        <v>0.1792</v>
      </c>
    </row>
    <row r="2557" spans="3:12">
      <c r="C2557" s="161">
        <f t="shared" si="168"/>
        <v>2019</v>
      </c>
      <c r="D2557" s="35" t="s">
        <v>298</v>
      </c>
      <c r="E2557" s="227">
        <v>43466</v>
      </c>
      <c r="F2557" s="156">
        <v>117986.8</v>
      </c>
      <c r="G2557" s="131">
        <f t="shared" si="169"/>
        <v>21143.234560000001</v>
      </c>
      <c r="H2557" s="156">
        <v>0</v>
      </c>
      <c r="I2557" s="156">
        <v>0</v>
      </c>
      <c r="J2557" s="156">
        <v>0</v>
      </c>
      <c r="K2557" s="131">
        <f t="shared" si="170"/>
        <v>0</v>
      </c>
      <c r="L2557" s="134">
        <v>0.1792</v>
      </c>
    </row>
    <row r="2558" spans="3:12">
      <c r="C2558" s="161">
        <f t="shared" si="168"/>
        <v>2019</v>
      </c>
      <c r="D2558" s="35" t="s">
        <v>298</v>
      </c>
      <c r="E2558" s="227">
        <v>43497</v>
      </c>
      <c r="F2558" s="156">
        <v>122454.55</v>
      </c>
      <c r="G2558" s="131">
        <f t="shared" si="169"/>
        <v>21943.855360000001</v>
      </c>
      <c r="H2558" s="156">
        <v>670.37</v>
      </c>
      <c r="I2558" s="156">
        <v>0</v>
      </c>
      <c r="J2558" s="156">
        <v>0</v>
      </c>
      <c r="K2558" s="131">
        <f t="shared" si="170"/>
        <v>670.37</v>
      </c>
      <c r="L2558" s="134">
        <v>0.1792</v>
      </c>
    </row>
    <row r="2559" spans="3:12">
      <c r="C2559" s="161">
        <f t="shared" si="168"/>
        <v>2019</v>
      </c>
      <c r="D2559" s="35" t="s">
        <v>298</v>
      </c>
      <c r="E2559" s="227">
        <v>43525</v>
      </c>
      <c r="F2559" s="156">
        <v>103175.77</v>
      </c>
      <c r="G2559" s="131">
        <f t="shared" si="169"/>
        <v>18489.097984</v>
      </c>
      <c r="H2559" s="156">
        <v>106.3</v>
      </c>
      <c r="I2559" s="156">
        <v>0</v>
      </c>
      <c r="J2559" s="156">
        <v>0</v>
      </c>
      <c r="K2559" s="131">
        <f t="shared" si="170"/>
        <v>106.3</v>
      </c>
      <c r="L2559" s="134">
        <v>0.1792</v>
      </c>
    </row>
    <row r="2560" spans="3:12">
      <c r="C2560" s="161">
        <f t="shared" si="168"/>
        <v>2019</v>
      </c>
      <c r="D2560" s="35" t="s">
        <v>298</v>
      </c>
      <c r="E2560" s="227">
        <v>43556</v>
      </c>
      <c r="F2560" s="156">
        <v>116747.51</v>
      </c>
      <c r="G2560" s="131">
        <f t="shared" si="169"/>
        <v>20921.153791999997</v>
      </c>
      <c r="H2560" s="156">
        <v>0</v>
      </c>
      <c r="I2560" s="156">
        <v>0</v>
      </c>
      <c r="J2560" s="156">
        <v>0</v>
      </c>
      <c r="K2560" s="131">
        <f t="shared" si="170"/>
        <v>0</v>
      </c>
      <c r="L2560" s="134">
        <v>0.1792</v>
      </c>
    </row>
    <row r="2561" spans="3:12">
      <c r="C2561" s="161">
        <f t="shared" si="168"/>
        <v>2019</v>
      </c>
      <c r="D2561" s="35" t="s">
        <v>298</v>
      </c>
      <c r="E2561" s="227">
        <v>43586</v>
      </c>
      <c r="F2561" s="156">
        <v>105605.38</v>
      </c>
      <c r="G2561" s="131">
        <f t="shared" si="169"/>
        <v>18924.484096</v>
      </c>
      <c r="H2561" s="156">
        <v>538.46</v>
      </c>
      <c r="I2561" s="156">
        <v>0</v>
      </c>
      <c r="J2561" s="156">
        <v>0</v>
      </c>
      <c r="K2561" s="131">
        <f t="shared" si="170"/>
        <v>538.46</v>
      </c>
      <c r="L2561" s="134">
        <v>0.1792</v>
      </c>
    </row>
    <row r="2562" spans="3:12">
      <c r="C2562" s="161">
        <f t="shared" si="168"/>
        <v>2019</v>
      </c>
      <c r="D2562" s="35" t="s">
        <v>298</v>
      </c>
      <c r="E2562" s="227">
        <v>43617</v>
      </c>
      <c r="F2562" s="156">
        <v>107337.35</v>
      </c>
      <c r="G2562" s="131">
        <f t="shared" si="169"/>
        <v>19234.85312</v>
      </c>
      <c r="H2562" s="156">
        <v>0</v>
      </c>
      <c r="I2562" s="156">
        <v>0</v>
      </c>
      <c r="J2562" s="156">
        <v>0</v>
      </c>
      <c r="K2562" s="131">
        <f t="shared" si="170"/>
        <v>0</v>
      </c>
      <c r="L2562" s="134">
        <v>0.1792</v>
      </c>
    </row>
    <row r="2563" spans="3:12">
      <c r="C2563" s="161">
        <f t="shared" si="168"/>
        <v>2019</v>
      </c>
      <c r="D2563" s="35" t="s">
        <v>298</v>
      </c>
      <c r="E2563" s="227">
        <v>43647</v>
      </c>
      <c r="F2563" s="156">
        <v>107505.92</v>
      </c>
      <c r="G2563" s="131">
        <f t="shared" si="169"/>
        <v>19265.060863999999</v>
      </c>
      <c r="H2563" s="156">
        <v>0</v>
      </c>
      <c r="I2563" s="156">
        <v>0</v>
      </c>
      <c r="J2563" s="156">
        <v>0</v>
      </c>
      <c r="K2563" s="131">
        <f t="shared" si="170"/>
        <v>0</v>
      </c>
      <c r="L2563" s="134">
        <v>0.1792</v>
      </c>
    </row>
    <row r="2564" spans="3:12">
      <c r="C2564" s="161">
        <f t="shared" ref="C2564:C2627" si="171">YEAR(E2564)</f>
        <v>2019</v>
      </c>
      <c r="D2564" s="35" t="s">
        <v>298</v>
      </c>
      <c r="E2564" s="227">
        <v>43678</v>
      </c>
      <c r="F2564" s="156">
        <v>112641.19</v>
      </c>
      <c r="G2564" s="131">
        <f t="shared" ref="G2564:G2627" si="172">F2564*L2564</f>
        <v>20185.301248</v>
      </c>
      <c r="H2564" s="156">
        <v>512.84</v>
      </c>
      <c r="I2564" s="156">
        <v>0</v>
      </c>
      <c r="J2564" s="156">
        <v>0</v>
      </c>
      <c r="K2564" s="131">
        <f t="shared" ref="K2564:K2627" si="173">SUM(H2564:J2564)</f>
        <v>512.84</v>
      </c>
      <c r="L2564" s="134">
        <v>0.1792</v>
      </c>
    </row>
    <row r="2565" spans="3:12">
      <c r="C2565" s="161">
        <f t="shared" si="171"/>
        <v>2019</v>
      </c>
      <c r="D2565" s="35" t="s">
        <v>298</v>
      </c>
      <c r="E2565" s="227">
        <v>43709</v>
      </c>
      <c r="F2565" s="156">
        <v>127886.04</v>
      </c>
      <c r="G2565" s="131">
        <f t="shared" si="172"/>
        <v>22917.178367999997</v>
      </c>
      <c r="H2565" s="156">
        <v>160.19999999999999</v>
      </c>
      <c r="I2565" s="156">
        <v>0</v>
      </c>
      <c r="J2565" s="156">
        <v>0</v>
      </c>
      <c r="K2565" s="131">
        <f t="shared" si="173"/>
        <v>160.19999999999999</v>
      </c>
      <c r="L2565" s="134">
        <v>0.1792</v>
      </c>
    </row>
    <row r="2566" spans="3:12">
      <c r="C2566" s="161">
        <f t="shared" si="171"/>
        <v>2019</v>
      </c>
      <c r="D2566" s="35" t="s">
        <v>298</v>
      </c>
      <c r="E2566" s="227">
        <v>43739</v>
      </c>
      <c r="F2566" s="156">
        <v>117436.44</v>
      </c>
      <c r="G2566" s="131">
        <f t="shared" si="172"/>
        <v>21044.610047999999</v>
      </c>
      <c r="H2566" s="156">
        <v>0</v>
      </c>
      <c r="I2566" s="156">
        <v>0</v>
      </c>
      <c r="J2566" s="156">
        <v>0</v>
      </c>
      <c r="K2566" s="131">
        <f t="shared" si="173"/>
        <v>0</v>
      </c>
      <c r="L2566" s="134">
        <v>0.1792</v>
      </c>
    </row>
    <row r="2567" spans="3:12">
      <c r="C2567" s="161">
        <f t="shared" si="171"/>
        <v>2019</v>
      </c>
      <c r="D2567" s="35" t="s">
        <v>298</v>
      </c>
      <c r="E2567" s="227">
        <v>43770</v>
      </c>
      <c r="F2567" s="156">
        <v>129304.42</v>
      </c>
      <c r="G2567" s="131">
        <f t="shared" si="172"/>
        <v>23171.352063999999</v>
      </c>
      <c r="H2567" s="156">
        <v>0</v>
      </c>
      <c r="I2567" s="156">
        <v>0</v>
      </c>
      <c r="J2567" s="156">
        <v>1106.1099999999999</v>
      </c>
      <c r="K2567" s="131">
        <f t="shared" si="173"/>
        <v>1106.1099999999999</v>
      </c>
      <c r="L2567" s="134">
        <v>0.1792</v>
      </c>
    </row>
    <row r="2568" spans="3:12">
      <c r="C2568" s="161">
        <f t="shared" si="171"/>
        <v>2019</v>
      </c>
      <c r="D2568" s="35" t="s">
        <v>298</v>
      </c>
      <c r="E2568" s="227">
        <v>43800</v>
      </c>
      <c r="F2568" s="156">
        <v>119852.27</v>
      </c>
      <c r="G2568" s="131">
        <f t="shared" si="172"/>
        <v>21477.526784000001</v>
      </c>
      <c r="H2568" s="156">
        <v>2016.24</v>
      </c>
      <c r="I2568" s="156">
        <v>0</v>
      </c>
      <c r="J2568" s="156">
        <v>0</v>
      </c>
      <c r="K2568" s="131">
        <f t="shared" si="173"/>
        <v>2016.24</v>
      </c>
      <c r="L2568" s="134">
        <v>0.1792</v>
      </c>
    </row>
    <row r="2569" spans="3:12">
      <c r="C2569" s="161">
        <f t="shared" si="171"/>
        <v>2020</v>
      </c>
      <c r="D2569" s="35" t="s">
        <v>298</v>
      </c>
      <c r="E2569" s="227">
        <v>43831</v>
      </c>
      <c r="F2569" s="156">
        <v>127710.16</v>
      </c>
      <c r="G2569" s="131">
        <f t="shared" si="172"/>
        <v>22885.660672000002</v>
      </c>
      <c r="H2569" s="156">
        <v>0</v>
      </c>
      <c r="I2569" s="156">
        <v>12370.2</v>
      </c>
      <c r="J2569" s="156">
        <v>0</v>
      </c>
      <c r="K2569" s="131">
        <f t="shared" si="173"/>
        <v>12370.2</v>
      </c>
      <c r="L2569" s="134">
        <v>0.1792</v>
      </c>
    </row>
    <row r="2570" spans="3:12">
      <c r="C2570" s="161">
        <f t="shared" si="171"/>
        <v>2020</v>
      </c>
      <c r="D2570" s="35" t="s">
        <v>298</v>
      </c>
      <c r="E2570" s="227">
        <v>43862</v>
      </c>
      <c r="F2570" s="156">
        <v>119679.84</v>
      </c>
      <c r="G2570" s="131">
        <f t="shared" si="172"/>
        <v>21446.627327999999</v>
      </c>
      <c r="H2570" s="156">
        <v>0</v>
      </c>
      <c r="I2570" s="156">
        <v>1452.52</v>
      </c>
      <c r="J2570" s="156">
        <v>0</v>
      </c>
      <c r="K2570" s="131">
        <f t="shared" si="173"/>
        <v>1452.52</v>
      </c>
      <c r="L2570" s="134">
        <v>0.1792</v>
      </c>
    </row>
    <row r="2571" spans="3:12">
      <c r="C2571" s="161">
        <f t="shared" si="171"/>
        <v>2020</v>
      </c>
      <c r="D2571" s="35" t="s">
        <v>298</v>
      </c>
      <c r="E2571" s="227">
        <v>43891</v>
      </c>
      <c r="F2571" s="156">
        <v>121631.925525</v>
      </c>
      <c r="G2571" s="131">
        <f t="shared" si="172"/>
        <v>21796.441054079998</v>
      </c>
      <c r="H2571" s="156">
        <v>0</v>
      </c>
      <c r="I2571" s="156">
        <v>647.65</v>
      </c>
      <c r="J2571" s="156">
        <v>0</v>
      </c>
      <c r="K2571" s="131">
        <f t="shared" si="173"/>
        <v>647.65</v>
      </c>
      <c r="L2571" s="134">
        <v>0.1792</v>
      </c>
    </row>
    <row r="2572" spans="3:12">
      <c r="C2572" s="161">
        <f t="shared" si="171"/>
        <v>2020</v>
      </c>
      <c r="D2572" s="35" t="s">
        <v>298</v>
      </c>
      <c r="E2572" s="227">
        <v>43922</v>
      </c>
      <c r="F2572" s="156">
        <v>114358.07707499999</v>
      </c>
      <c r="G2572" s="131">
        <f t="shared" si="172"/>
        <v>20492.96741184</v>
      </c>
      <c r="H2572" s="156">
        <v>2296.17</v>
      </c>
      <c r="I2572" s="156">
        <v>0</v>
      </c>
      <c r="J2572" s="156">
        <v>0</v>
      </c>
      <c r="K2572" s="131">
        <f t="shared" si="173"/>
        <v>2296.17</v>
      </c>
      <c r="L2572" s="134">
        <v>0.1792</v>
      </c>
    </row>
    <row r="2573" spans="3:12">
      <c r="C2573" s="161">
        <f t="shared" si="171"/>
        <v>2020</v>
      </c>
      <c r="D2573" s="35" t="s">
        <v>298</v>
      </c>
      <c r="E2573" s="227">
        <v>43952</v>
      </c>
      <c r="F2573" s="156">
        <v>102272.18</v>
      </c>
      <c r="G2573" s="131">
        <f t="shared" si="172"/>
        <v>18327.174655999999</v>
      </c>
      <c r="H2573" s="156">
        <v>0</v>
      </c>
      <c r="I2573" s="156">
        <v>0</v>
      </c>
      <c r="J2573" s="156">
        <v>0</v>
      </c>
      <c r="K2573" s="131">
        <f t="shared" si="173"/>
        <v>0</v>
      </c>
      <c r="L2573" s="134">
        <v>0.1792</v>
      </c>
    </row>
    <row r="2574" spans="3:12">
      <c r="C2574" s="161">
        <f t="shared" si="171"/>
        <v>2020</v>
      </c>
      <c r="D2574" s="35" t="s">
        <v>298</v>
      </c>
      <c r="E2574" s="227">
        <v>43983</v>
      </c>
      <c r="F2574" s="156">
        <v>111342.88</v>
      </c>
      <c r="G2574" s="131">
        <f t="shared" si="172"/>
        <v>19952.644096</v>
      </c>
      <c r="H2574" s="156">
        <v>0</v>
      </c>
      <c r="I2574" s="156">
        <v>178.64</v>
      </c>
      <c r="J2574" s="156">
        <v>0</v>
      </c>
      <c r="K2574" s="131">
        <f t="shared" si="173"/>
        <v>178.64</v>
      </c>
      <c r="L2574" s="134">
        <v>0.1792</v>
      </c>
    </row>
    <row r="2575" spans="3:12">
      <c r="C2575" s="161">
        <f t="shared" si="171"/>
        <v>2020</v>
      </c>
      <c r="D2575" s="35" t="s">
        <v>298</v>
      </c>
      <c r="E2575" s="227">
        <v>44013</v>
      </c>
      <c r="F2575" s="156">
        <v>110029.61</v>
      </c>
      <c r="G2575" s="131">
        <f t="shared" si="172"/>
        <v>19717.306111999998</v>
      </c>
      <c r="H2575" s="156">
        <v>2659.94</v>
      </c>
      <c r="I2575" s="156">
        <v>9474.14</v>
      </c>
      <c r="J2575" s="156">
        <v>663.7</v>
      </c>
      <c r="K2575" s="131">
        <f t="shared" si="173"/>
        <v>12797.78</v>
      </c>
      <c r="L2575" s="134">
        <v>0.1792</v>
      </c>
    </row>
    <row r="2576" spans="3:12">
      <c r="C2576" s="161">
        <f t="shared" si="171"/>
        <v>2020</v>
      </c>
      <c r="D2576" s="35" t="s">
        <v>298</v>
      </c>
      <c r="E2576" s="227">
        <v>44044</v>
      </c>
      <c r="F2576" s="156">
        <v>106489.79</v>
      </c>
      <c r="G2576" s="131">
        <f t="shared" si="172"/>
        <v>19082.970367999998</v>
      </c>
      <c r="H2576" s="156">
        <v>2282.5</v>
      </c>
      <c r="I2576" s="156">
        <v>1074.8599999999999</v>
      </c>
      <c r="J2576" s="156">
        <v>0</v>
      </c>
      <c r="K2576" s="131">
        <f t="shared" si="173"/>
        <v>3357.3599999999997</v>
      </c>
      <c r="L2576" s="134">
        <v>0.1792</v>
      </c>
    </row>
    <row r="2577" spans="3:12">
      <c r="C2577" s="161">
        <f t="shared" si="171"/>
        <v>2020</v>
      </c>
      <c r="D2577" s="35" t="s">
        <v>298</v>
      </c>
      <c r="E2577" s="227">
        <v>44075</v>
      </c>
      <c r="F2577" s="156">
        <v>122715.03</v>
      </c>
      <c r="G2577" s="131">
        <f t="shared" si="172"/>
        <v>21990.533375999999</v>
      </c>
      <c r="H2577" s="156">
        <v>6304.06</v>
      </c>
      <c r="I2577" s="156">
        <v>1630.96</v>
      </c>
      <c r="J2577" s="156">
        <v>0</v>
      </c>
      <c r="K2577" s="131">
        <f t="shared" si="173"/>
        <v>7935.02</v>
      </c>
      <c r="L2577" s="134">
        <v>0.1792</v>
      </c>
    </row>
    <row r="2578" spans="3:12">
      <c r="C2578" s="161">
        <f t="shared" si="171"/>
        <v>2020</v>
      </c>
      <c r="D2578" s="35" t="s">
        <v>298</v>
      </c>
      <c r="E2578" s="227">
        <v>44105</v>
      </c>
      <c r="F2578" s="156">
        <v>127482.79</v>
      </c>
      <c r="G2578" s="131">
        <f t="shared" si="172"/>
        <v>22844.915967999998</v>
      </c>
      <c r="H2578" s="156">
        <v>86.32</v>
      </c>
      <c r="I2578" s="156">
        <v>0</v>
      </c>
      <c r="J2578" s="156">
        <v>0</v>
      </c>
      <c r="K2578" s="131">
        <f t="shared" si="173"/>
        <v>86.32</v>
      </c>
      <c r="L2578" s="134">
        <v>0.1792</v>
      </c>
    </row>
    <row r="2579" spans="3:12">
      <c r="C2579" s="161">
        <f t="shared" si="171"/>
        <v>2020</v>
      </c>
      <c r="D2579" s="35" t="s">
        <v>298</v>
      </c>
      <c r="E2579" s="227">
        <v>44136</v>
      </c>
      <c r="F2579" s="156">
        <v>131867.09</v>
      </c>
      <c r="G2579" s="131">
        <f t="shared" si="172"/>
        <v>23630.582527999999</v>
      </c>
      <c r="H2579" s="156">
        <v>103.14</v>
      </c>
      <c r="I2579" s="156">
        <v>1028.1300000000001</v>
      </c>
      <c r="J2579" s="156">
        <v>0</v>
      </c>
      <c r="K2579" s="131">
        <f t="shared" si="173"/>
        <v>1131.2700000000002</v>
      </c>
      <c r="L2579" s="134">
        <v>0.1792</v>
      </c>
    </row>
    <row r="2580" spans="3:12">
      <c r="C2580" s="161">
        <f t="shared" si="171"/>
        <v>2020</v>
      </c>
      <c r="D2580" s="35" t="s">
        <v>298</v>
      </c>
      <c r="E2580" s="227">
        <v>44166</v>
      </c>
      <c r="F2580" s="156">
        <v>133640.07</v>
      </c>
      <c r="G2580" s="131">
        <f t="shared" si="172"/>
        <v>23948.300544000002</v>
      </c>
      <c r="H2580" s="156">
        <v>103.57</v>
      </c>
      <c r="I2580" s="156">
        <v>1000.5</v>
      </c>
      <c r="J2580" s="156">
        <v>0</v>
      </c>
      <c r="K2580" s="131">
        <f t="shared" si="173"/>
        <v>1104.07</v>
      </c>
      <c r="L2580" s="134">
        <v>0.1792</v>
      </c>
    </row>
    <row r="2581" spans="3:12">
      <c r="C2581" s="161">
        <f t="shared" si="171"/>
        <v>2021</v>
      </c>
      <c r="D2581" s="35" t="s">
        <v>298</v>
      </c>
      <c r="E2581" s="227">
        <v>44197</v>
      </c>
      <c r="F2581" s="156">
        <v>132347.1</v>
      </c>
      <c r="G2581" s="131">
        <f t="shared" si="172"/>
        <v>23716.600320000001</v>
      </c>
      <c r="H2581" s="156">
        <v>4787.1099999999997</v>
      </c>
      <c r="I2581" s="156">
        <v>13340.16</v>
      </c>
      <c r="J2581" s="156">
        <v>0</v>
      </c>
      <c r="K2581" s="131">
        <f t="shared" si="173"/>
        <v>18127.27</v>
      </c>
      <c r="L2581" s="134">
        <v>0.1792</v>
      </c>
    </row>
    <row r="2582" spans="3:12">
      <c r="C2582" s="161">
        <f t="shared" si="171"/>
        <v>2021</v>
      </c>
      <c r="D2582" s="35" t="s">
        <v>298</v>
      </c>
      <c r="E2582" s="227">
        <v>44229</v>
      </c>
      <c r="F2582" s="156">
        <v>126135.08</v>
      </c>
      <c r="G2582" s="131">
        <f t="shared" si="172"/>
        <v>22603.406336</v>
      </c>
      <c r="H2582" s="156">
        <v>2036.61</v>
      </c>
      <c r="I2582" s="156">
        <v>0</v>
      </c>
      <c r="J2582" s="156">
        <v>0</v>
      </c>
      <c r="K2582" s="131">
        <f t="shared" si="173"/>
        <v>2036.61</v>
      </c>
      <c r="L2582" s="134">
        <v>0.1792</v>
      </c>
    </row>
    <row r="2583" spans="3:12">
      <c r="C2583" s="161">
        <f t="shared" si="171"/>
        <v>2021</v>
      </c>
      <c r="D2583" s="35" t="s">
        <v>298</v>
      </c>
      <c r="E2583" s="227">
        <v>44258</v>
      </c>
      <c r="F2583" s="156">
        <v>122526.24</v>
      </c>
      <c r="G2583" s="131">
        <f t="shared" si="172"/>
        <v>21956.702208000002</v>
      </c>
      <c r="H2583" s="156">
        <v>977.11</v>
      </c>
      <c r="I2583" s="156">
        <v>46712.36</v>
      </c>
      <c r="J2583" s="156">
        <v>0</v>
      </c>
      <c r="K2583" s="131">
        <f t="shared" si="173"/>
        <v>47689.47</v>
      </c>
      <c r="L2583" s="134">
        <v>0.1792</v>
      </c>
    </row>
    <row r="2584" spans="3:12">
      <c r="C2584" s="161">
        <f t="shared" si="171"/>
        <v>2021</v>
      </c>
      <c r="D2584" s="35" t="s">
        <v>298</v>
      </c>
      <c r="E2584" s="227">
        <v>44290</v>
      </c>
      <c r="F2584" s="156">
        <v>141524.13</v>
      </c>
      <c r="G2584" s="131">
        <f t="shared" si="172"/>
        <v>25361.124096</v>
      </c>
      <c r="H2584" s="156">
        <v>1388.03</v>
      </c>
      <c r="I2584" s="156">
        <v>0</v>
      </c>
      <c r="J2584" s="156">
        <v>0</v>
      </c>
      <c r="K2584" s="131">
        <f t="shared" si="173"/>
        <v>1388.03</v>
      </c>
      <c r="L2584" s="134">
        <v>0.1792</v>
      </c>
    </row>
    <row r="2585" spans="3:12">
      <c r="C2585" s="161">
        <f t="shared" si="171"/>
        <v>2021</v>
      </c>
      <c r="D2585" s="35" t="s">
        <v>298</v>
      </c>
      <c r="E2585" s="227">
        <v>44321</v>
      </c>
      <c r="F2585" s="156">
        <v>119816.82</v>
      </c>
      <c r="G2585" s="131">
        <f t="shared" si="172"/>
        <v>21471.174144000001</v>
      </c>
      <c r="H2585" s="156">
        <v>1439.44</v>
      </c>
      <c r="I2585" s="156">
        <v>0</v>
      </c>
      <c r="J2585" s="156">
        <v>0</v>
      </c>
      <c r="K2585" s="131">
        <f t="shared" si="173"/>
        <v>1439.44</v>
      </c>
      <c r="L2585" s="134">
        <v>0.1792</v>
      </c>
    </row>
    <row r="2586" spans="3:12">
      <c r="C2586" s="161">
        <f t="shared" si="171"/>
        <v>2021</v>
      </c>
      <c r="D2586" s="35" t="s">
        <v>298</v>
      </c>
      <c r="E2586" s="227">
        <v>44353</v>
      </c>
      <c r="F2586" s="156">
        <v>118041.12</v>
      </c>
      <c r="G2586" s="131">
        <f t="shared" si="172"/>
        <v>21152.968703999999</v>
      </c>
      <c r="H2586" s="156">
        <v>0</v>
      </c>
      <c r="I2586" s="156">
        <v>0</v>
      </c>
      <c r="J2586" s="156">
        <v>0</v>
      </c>
      <c r="K2586" s="131">
        <f t="shared" si="173"/>
        <v>0</v>
      </c>
      <c r="L2586" s="134">
        <v>0.1792</v>
      </c>
    </row>
    <row r="2587" spans="3:12">
      <c r="C2587" s="161">
        <f t="shared" si="171"/>
        <v>2015</v>
      </c>
      <c r="D2587" s="35" t="s">
        <v>299</v>
      </c>
      <c r="E2587" s="227">
        <v>42309</v>
      </c>
      <c r="F2587" s="156">
        <v>90822.21</v>
      </c>
      <c r="G2587" s="131">
        <f t="shared" si="172"/>
        <v>16275.340032000002</v>
      </c>
      <c r="H2587" s="156">
        <v>291.89999999999998</v>
      </c>
      <c r="I2587" s="156">
        <v>79.430000000000007</v>
      </c>
      <c r="J2587" s="156">
        <v>0</v>
      </c>
      <c r="K2587" s="131">
        <f t="shared" si="173"/>
        <v>371.33</v>
      </c>
      <c r="L2587" s="134">
        <v>0.1792</v>
      </c>
    </row>
    <row r="2588" spans="3:12">
      <c r="C2588" s="161">
        <f t="shared" si="171"/>
        <v>2015</v>
      </c>
      <c r="D2588" s="35" t="s">
        <v>299</v>
      </c>
      <c r="E2588" s="227">
        <v>42339</v>
      </c>
      <c r="F2588" s="156">
        <v>85916.160000000003</v>
      </c>
      <c r="G2588" s="131">
        <f t="shared" si="172"/>
        <v>15396.175872</v>
      </c>
      <c r="H2588" s="156">
        <v>148.57</v>
      </c>
      <c r="I2588" s="156">
        <v>0</v>
      </c>
      <c r="J2588" s="156">
        <v>0</v>
      </c>
      <c r="K2588" s="131">
        <f t="shared" si="173"/>
        <v>148.57</v>
      </c>
      <c r="L2588" s="134">
        <v>0.1792</v>
      </c>
    </row>
    <row r="2589" spans="3:12">
      <c r="C2589" s="161">
        <f t="shared" si="171"/>
        <v>2016</v>
      </c>
      <c r="D2589" s="35" t="s">
        <v>299</v>
      </c>
      <c r="E2589" s="227">
        <v>42370</v>
      </c>
      <c r="F2589" s="156">
        <v>87828.9</v>
      </c>
      <c r="G2589" s="131">
        <f t="shared" si="172"/>
        <v>15738.93888</v>
      </c>
      <c r="H2589" s="156">
        <v>481254.11</v>
      </c>
      <c r="I2589" s="156">
        <v>0</v>
      </c>
      <c r="J2589" s="156">
        <v>0</v>
      </c>
      <c r="K2589" s="131">
        <f t="shared" si="173"/>
        <v>481254.11</v>
      </c>
      <c r="L2589" s="134">
        <v>0.1792</v>
      </c>
    </row>
    <row r="2590" spans="3:12">
      <c r="C2590" s="161">
        <f t="shared" si="171"/>
        <v>2016</v>
      </c>
      <c r="D2590" s="35" t="s">
        <v>299</v>
      </c>
      <c r="E2590" s="227">
        <v>42401</v>
      </c>
      <c r="F2590" s="156">
        <v>87273.06</v>
      </c>
      <c r="G2590" s="131">
        <f t="shared" si="172"/>
        <v>15639.332351999999</v>
      </c>
      <c r="H2590" s="156">
        <v>212938.2</v>
      </c>
      <c r="I2590" s="156">
        <v>0</v>
      </c>
      <c r="J2590" s="156">
        <v>0</v>
      </c>
      <c r="K2590" s="131">
        <f t="shared" si="173"/>
        <v>212938.2</v>
      </c>
      <c r="L2590" s="134">
        <v>0.1792</v>
      </c>
    </row>
    <row r="2591" spans="3:12">
      <c r="C2591" s="161">
        <f t="shared" si="171"/>
        <v>2016</v>
      </c>
      <c r="D2591" s="35" t="s">
        <v>299</v>
      </c>
      <c r="E2591" s="227">
        <v>42430</v>
      </c>
      <c r="F2591" s="156">
        <v>83829.399999999994</v>
      </c>
      <c r="G2591" s="131">
        <f t="shared" si="172"/>
        <v>15022.228479999998</v>
      </c>
      <c r="H2591" s="156">
        <v>155579.79999999999</v>
      </c>
      <c r="I2591" s="156">
        <v>0</v>
      </c>
      <c r="J2591" s="156">
        <v>0</v>
      </c>
      <c r="K2591" s="131">
        <f t="shared" si="173"/>
        <v>155579.79999999999</v>
      </c>
      <c r="L2591" s="134">
        <v>0.1792</v>
      </c>
    </row>
    <row r="2592" spans="3:12">
      <c r="C2592" s="161">
        <f t="shared" si="171"/>
        <v>2016</v>
      </c>
      <c r="D2592" s="35" t="s">
        <v>299</v>
      </c>
      <c r="E2592" s="227">
        <v>42461</v>
      </c>
      <c r="F2592" s="156">
        <v>96632.42</v>
      </c>
      <c r="G2592" s="131">
        <f t="shared" si="172"/>
        <v>17316.529663999998</v>
      </c>
      <c r="H2592" s="156">
        <v>221211.9</v>
      </c>
      <c r="I2592" s="156">
        <v>0</v>
      </c>
      <c r="J2592" s="156">
        <v>0</v>
      </c>
      <c r="K2592" s="131">
        <f t="shared" si="173"/>
        <v>221211.9</v>
      </c>
      <c r="L2592" s="134">
        <v>0.1792</v>
      </c>
    </row>
    <row r="2593" spans="3:12">
      <c r="C2593" s="161">
        <f t="shared" si="171"/>
        <v>2016</v>
      </c>
      <c r="D2593" s="35" t="s">
        <v>299</v>
      </c>
      <c r="E2593" s="227">
        <v>42491</v>
      </c>
      <c r="F2593" s="156">
        <v>91857.43</v>
      </c>
      <c r="G2593" s="131">
        <f t="shared" si="172"/>
        <v>16460.851456</v>
      </c>
      <c r="H2593" s="156">
        <v>268448.87</v>
      </c>
      <c r="I2593" s="156">
        <v>0</v>
      </c>
      <c r="J2593" s="156">
        <v>0</v>
      </c>
      <c r="K2593" s="131">
        <f t="shared" si="173"/>
        <v>268448.87</v>
      </c>
      <c r="L2593" s="134">
        <v>0.1792</v>
      </c>
    </row>
    <row r="2594" spans="3:12">
      <c r="C2594" s="161">
        <f t="shared" si="171"/>
        <v>2016</v>
      </c>
      <c r="D2594" s="35" t="s">
        <v>299</v>
      </c>
      <c r="E2594" s="227">
        <v>42522</v>
      </c>
      <c r="F2594" s="156">
        <v>88031.38</v>
      </c>
      <c r="G2594" s="131">
        <f t="shared" si="172"/>
        <v>15775.223296</v>
      </c>
      <c r="H2594" s="156">
        <v>21791.72</v>
      </c>
      <c r="I2594" s="156">
        <v>0</v>
      </c>
      <c r="J2594" s="156">
        <v>0</v>
      </c>
      <c r="K2594" s="131">
        <f t="shared" si="173"/>
        <v>21791.72</v>
      </c>
      <c r="L2594" s="134">
        <v>0.1792</v>
      </c>
    </row>
    <row r="2595" spans="3:12">
      <c r="C2595" s="161">
        <f t="shared" si="171"/>
        <v>2016</v>
      </c>
      <c r="D2595" s="35" t="s">
        <v>299</v>
      </c>
      <c r="E2595" s="227">
        <v>42552</v>
      </c>
      <c r="F2595" s="156">
        <v>97141.58</v>
      </c>
      <c r="G2595" s="131">
        <f t="shared" si="172"/>
        <v>17407.771135999999</v>
      </c>
      <c r="H2595" s="156">
        <v>19844.71</v>
      </c>
      <c r="I2595" s="156">
        <v>707.31</v>
      </c>
      <c r="J2595" s="156">
        <v>3980</v>
      </c>
      <c r="K2595" s="131">
        <f t="shared" si="173"/>
        <v>24532.02</v>
      </c>
      <c r="L2595" s="134">
        <v>0.1792</v>
      </c>
    </row>
    <row r="2596" spans="3:12">
      <c r="C2596" s="161">
        <f t="shared" si="171"/>
        <v>2016</v>
      </c>
      <c r="D2596" s="35" t="s">
        <v>299</v>
      </c>
      <c r="E2596" s="227">
        <v>42583</v>
      </c>
      <c r="F2596" s="156">
        <v>103425.95</v>
      </c>
      <c r="G2596" s="131">
        <f t="shared" si="172"/>
        <v>18533.930239999998</v>
      </c>
      <c r="H2596" s="156">
        <v>161.66999999999999</v>
      </c>
      <c r="I2596" s="156">
        <v>986.68</v>
      </c>
      <c r="J2596" s="156">
        <v>0</v>
      </c>
      <c r="K2596" s="131">
        <f t="shared" si="173"/>
        <v>1148.3499999999999</v>
      </c>
      <c r="L2596" s="134">
        <v>0.1792</v>
      </c>
    </row>
    <row r="2597" spans="3:12">
      <c r="C2597" s="161">
        <f t="shared" si="171"/>
        <v>2016</v>
      </c>
      <c r="D2597" s="35" t="s">
        <v>299</v>
      </c>
      <c r="E2597" s="227">
        <v>42614</v>
      </c>
      <c r="F2597" s="156">
        <v>101203.88</v>
      </c>
      <c r="G2597" s="131">
        <f t="shared" si="172"/>
        <v>18135.735295999999</v>
      </c>
      <c r="H2597" s="156">
        <v>672.86</v>
      </c>
      <c r="I2597" s="156">
        <v>0</v>
      </c>
      <c r="J2597" s="156">
        <v>0</v>
      </c>
      <c r="K2597" s="131">
        <f t="shared" si="173"/>
        <v>672.86</v>
      </c>
      <c r="L2597" s="134">
        <v>0.1792</v>
      </c>
    </row>
    <row r="2598" spans="3:12">
      <c r="C2598" s="161">
        <f t="shared" si="171"/>
        <v>2016</v>
      </c>
      <c r="D2598" s="35" t="s">
        <v>299</v>
      </c>
      <c r="E2598" s="227">
        <v>42644</v>
      </c>
      <c r="F2598" s="156">
        <v>103451.94</v>
      </c>
      <c r="G2598" s="131">
        <f t="shared" si="172"/>
        <v>18538.587648000001</v>
      </c>
      <c r="H2598" s="156">
        <v>385.67</v>
      </c>
      <c r="I2598" s="156">
        <v>66.5</v>
      </c>
      <c r="J2598" s="156">
        <v>2037</v>
      </c>
      <c r="K2598" s="131">
        <f t="shared" si="173"/>
        <v>2489.17</v>
      </c>
      <c r="L2598" s="134">
        <v>0.1792</v>
      </c>
    </row>
    <row r="2599" spans="3:12">
      <c r="C2599" s="161">
        <f t="shared" si="171"/>
        <v>2016</v>
      </c>
      <c r="D2599" s="35" t="s">
        <v>299</v>
      </c>
      <c r="E2599" s="227">
        <v>42675</v>
      </c>
      <c r="F2599" s="156">
        <v>118261.71</v>
      </c>
      <c r="G2599" s="131">
        <f t="shared" si="172"/>
        <v>21192.498432</v>
      </c>
      <c r="H2599" s="156">
        <v>1291.24</v>
      </c>
      <c r="I2599" s="156">
        <v>62.5</v>
      </c>
      <c r="J2599" s="156">
        <v>0</v>
      </c>
      <c r="K2599" s="131">
        <f t="shared" si="173"/>
        <v>1353.74</v>
      </c>
      <c r="L2599" s="134">
        <v>0.1792</v>
      </c>
    </row>
    <row r="2600" spans="3:12">
      <c r="C2600" s="161">
        <f t="shared" si="171"/>
        <v>2016</v>
      </c>
      <c r="D2600" s="35" t="s">
        <v>299</v>
      </c>
      <c r="E2600" s="227">
        <v>42705</v>
      </c>
      <c r="F2600" s="156">
        <v>118509.26</v>
      </c>
      <c r="G2600" s="131">
        <f t="shared" si="172"/>
        <v>21236.859391999998</v>
      </c>
      <c r="H2600" s="156">
        <v>106519.4</v>
      </c>
      <c r="I2600" s="156">
        <v>74.44</v>
      </c>
      <c r="J2600" s="156">
        <v>0</v>
      </c>
      <c r="K2600" s="131">
        <f t="shared" si="173"/>
        <v>106593.84</v>
      </c>
      <c r="L2600" s="134">
        <v>0.1792</v>
      </c>
    </row>
    <row r="2601" spans="3:12">
      <c r="C2601" s="161">
        <f t="shared" si="171"/>
        <v>2017</v>
      </c>
      <c r="D2601" s="35" t="s">
        <v>299</v>
      </c>
      <c r="E2601" s="227">
        <v>42736</v>
      </c>
      <c r="F2601" s="156">
        <v>114293.83</v>
      </c>
      <c r="G2601" s="131">
        <f t="shared" si="172"/>
        <v>20481.454335999999</v>
      </c>
      <c r="H2601" s="156">
        <v>3223.3</v>
      </c>
      <c r="I2601" s="156">
        <v>204.13</v>
      </c>
      <c r="J2601" s="156">
        <v>0</v>
      </c>
      <c r="K2601" s="131">
        <f t="shared" si="173"/>
        <v>3427.4300000000003</v>
      </c>
      <c r="L2601" s="134">
        <v>0.1792</v>
      </c>
    </row>
    <row r="2602" spans="3:12">
      <c r="C2602" s="161">
        <f t="shared" si="171"/>
        <v>2017</v>
      </c>
      <c r="D2602" s="35" t="s">
        <v>299</v>
      </c>
      <c r="E2602" s="227">
        <v>42767</v>
      </c>
      <c r="F2602" s="156">
        <v>105158.06</v>
      </c>
      <c r="G2602" s="131">
        <f t="shared" si="172"/>
        <v>18844.324352</v>
      </c>
      <c r="H2602" s="156">
        <v>2155.31</v>
      </c>
      <c r="I2602" s="156">
        <v>75.78</v>
      </c>
      <c r="J2602" s="156">
        <v>0</v>
      </c>
      <c r="K2602" s="131">
        <f t="shared" si="173"/>
        <v>2231.09</v>
      </c>
      <c r="L2602" s="134">
        <v>0.1792</v>
      </c>
    </row>
    <row r="2603" spans="3:12">
      <c r="C2603" s="161">
        <f t="shared" si="171"/>
        <v>2017</v>
      </c>
      <c r="D2603" s="35" t="s">
        <v>299</v>
      </c>
      <c r="E2603" s="227">
        <v>42795</v>
      </c>
      <c r="F2603" s="156">
        <v>108675.12</v>
      </c>
      <c r="G2603" s="131">
        <f t="shared" si="172"/>
        <v>19474.581503999998</v>
      </c>
      <c r="H2603" s="156">
        <v>768.9</v>
      </c>
      <c r="I2603" s="156">
        <v>257.26</v>
      </c>
      <c r="J2603" s="156">
        <v>266</v>
      </c>
      <c r="K2603" s="131">
        <f t="shared" si="173"/>
        <v>1292.1599999999999</v>
      </c>
      <c r="L2603" s="134">
        <v>0.1792</v>
      </c>
    </row>
    <row r="2604" spans="3:12">
      <c r="C2604" s="161">
        <f t="shared" si="171"/>
        <v>2017</v>
      </c>
      <c r="D2604" s="35" t="s">
        <v>299</v>
      </c>
      <c r="E2604" s="227">
        <v>42826</v>
      </c>
      <c r="F2604" s="156">
        <v>105491.26</v>
      </c>
      <c r="G2604" s="131">
        <f t="shared" si="172"/>
        <v>18904.033791999998</v>
      </c>
      <c r="H2604" s="156">
        <v>385.25</v>
      </c>
      <c r="I2604" s="156">
        <v>90.55</v>
      </c>
      <c r="J2604" s="156">
        <v>0</v>
      </c>
      <c r="K2604" s="131">
        <f t="shared" si="173"/>
        <v>475.8</v>
      </c>
      <c r="L2604" s="134">
        <v>0.1792</v>
      </c>
    </row>
    <row r="2605" spans="3:12">
      <c r="C2605" s="161">
        <f t="shared" si="171"/>
        <v>2017</v>
      </c>
      <c r="D2605" s="35" t="s">
        <v>299</v>
      </c>
      <c r="E2605" s="227">
        <v>42856</v>
      </c>
      <c r="F2605" s="156">
        <v>104869.34</v>
      </c>
      <c r="G2605" s="131">
        <f t="shared" si="172"/>
        <v>18792.585727999998</v>
      </c>
      <c r="H2605" s="156">
        <v>282.12</v>
      </c>
      <c r="I2605" s="156">
        <v>0</v>
      </c>
      <c r="J2605" s="156">
        <v>0</v>
      </c>
      <c r="K2605" s="131">
        <f t="shared" si="173"/>
        <v>282.12</v>
      </c>
      <c r="L2605" s="134">
        <v>0.1792</v>
      </c>
    </row>
    <row r="2606" spans="3:12">
      <c r="C2606" s="161">
        <f t="shared" si="171"/>
        <v>2017</v>
      </c>
      <c r="D2606" s="35" t="s">
        <v>299</v>
      </c>
      <c r="E2606" s="227">
        <v>42887</v>
      </c>
      <c r="F2606" s="156">
        <v>100526.63</v>
      </c>
      <c r="G2606" s="131">
        <f t="shared" si="172"/>
        <v>18014.372095999999</v>
      </c>
      <c r="H2606" s="156">
        <v>0</v>
      </c>
      <c r="I2606" s="156">
        <v>0</v>
      </c>
      <c r="J2606" s="156">
        <v>0</v>
      </c>
      <c r="K2606" s="131">
        <f t="shared" si="173"/>
        <v>0</v>
      </c>
      <c r="L2606" s="134">
        <v>0.1792</v>
      </c>
    </row>
    <row r="2607" spans="3:12">
      <c r="C2607" s="161">
        <f t="shared" si="171"/>
        <v>2017</v>
      </c>
      <c r="D2607" s="35" t="s">
        <v>299</v>
      </c>
      <c r="E2607" s="227">
        <v>42917</v>
      </c>
      <c r="F2607" s="156">
        <v>105108.34</v>
      </c>
      <c r="G2607" s="131">
        <f t="shared" si="172"/>
        <v>18835.414527999998</v>
      </c>
      <c r="H2607" s="156">
        <v>293.14</v>
      </c>
      <c r="I2607" s="156">
        <v>311.05</v>
      </c>
      <c r="J2607" s="156">
        <v>13581.96</v>
      </c>
      <c r="K2607" s="131">
        <f t="shared" si="173"/>
        <v>14186.15</v>
      </c>
      <c r="L2607" s="134">
        <v>0.1792</v>
      </c>
    </row>
    <row r="2608" spans="3:12">
      <c r="C2608" s="161">
        <f t="shared" si="171"/>
        <v>2017</v>
      </c>
      <c r="D2608" s="35" t="s">
        <v>299</v>
      </c>
      <c r="E2608" s="227">
        <v>42948</v>
      </c>
      <c r="F2608" s="156">
        <v>110395.22</v>
      </c>
      <c r="G2608" s="131">
        <f t="shared" si="172"/>
        <v>19782.823423999998</v>
      </c>
      <c r="H2608" s="156">
        <v>5520.28</v>
      </c>
      <c r="I2608" s="156">
        <v>59.33</v>
      </c>
      <c r="J2608" s="156">
        <v>0</v>
      </c>
      <c r="K2608" s="131">
        <f t="shared" si="173"/>
        <v>5579.61</v>
      </c>
      <c r="L2608" s="134">
        <v>0.1792</v>
      </c>
    </row>
    <row r="2609" spans="3:12">
      <c r="C2609" s="161">
        <f t="shared" si="171"/>
        <v>2017</v>
      </c>
      <c r="D2609" s="35" t="s">
        <v>299</v>
      </c>
      <c r="E2609" s="227">
        <v>42979</v>
      </c>
      <c r="F2609" s="156">
        <v>123098.84</v>
      </c>
      <c r="G2609" s="131">
        <f t="shared" si="172"/>
        <v>22059.312127999998</v>
      </c>
      <c r="H2609" s="156">
        <v>46.41</v>
      </c>
      <c r="I2609" s="156">
        <v>114.42</v>
      </c>
      <c r="J2609" s="156">
        <v>0</v>
      </c>
      <c r="K2609" s="131">
        <f t="shared" si="173"/>
        <v>160.82999999999998</v>
      </c>
      <c r="L2609" s="134">
        <v>0.1792</v>
      </c>
    </row>
    <row r="2610" spans="3:12">
      <c r="C2610" s="161">
        <f t="shared" si="171"/>
        <v>2017</v>
      </c>
      <c r="D2610" s="35" t="s">
        <v>299</v>
      </c>
      <c r="E2610" s="227">
        <v>43009</v>
      </c>
      <c r="F2610" s="156">
        <v>117894.63</v>
      </c>
      <c r="G2610" s="131">
        <f t="shared" si="172"/>
        <v>21126.717696</v>
      </c>
      <c r="H2610" s="156">
        <v>108.84</v>
      </c>
      <c r="I2610" s="156">
        <v>34.4</v>
      </c>
      <c r="J2610" s="156">
        <v>0</v>
      </c>
      <c r="K2610" s="131">
        <f t="shared" si="173"/>
        <v>143.24</v>
      </c>
      <c r="L2610" s="134">
        <v>0.1792</v>
      </c>
    </row>
    <row r="2611" spans="3:12">
      <c r="C2611" s="161">
        <f t="shared" si="171"/>
        <v>2017</v>
      </c>
      <c r="D2611" s="35" t="s">
        <v>299</v>
      </c>
      <c r="E2611" s="227">
        <v>43040</v>
      </c>
      <c r="F2611" s="156">
        <v>116294.77</v>
      </c>
      <c r="G2611" s="131">
        <f t="shared" si="172"/>
        <v>20840.022784000001</v>
      </c>
      <c r="H2611" s="156">
        <v>45852.99</v>
      </c>
      <c r="I2611" s="156">
        <v>0</v>
      </c>
      <c r="J2611" s="156">
        <v>0</v>
      </c>
      <c r="K2611" s="131">
        <f t="shared" si="173"/>
        <v>45852.99</v>
      </c>
      <c r="L2611" s="134">
        <v>0.1792</v>
      </c>
    </row>
    <row r="2612" spans="3:12">
      <c r="C2612" s="161">
        <f t="shared" si="171"/>
        <v>2017</v>
      </c>
      <c r="D2612" s="35" t="s">
        <v>299</v>
      </c>
      <c r="E2612" s="227">
        <v>43070</v>
      </c>
      <c r="F2612" s="156">
        <v>126510.82</v>
      </c>
      <c r="G2612" s="131">
        <f t="shared" si="172"/>
        <v>22670.738944000001</v>
      </c>
      <c r="H2612" s="156">
        <v>1968.56</v>
      </c>
      <c r="I2612" s="156">
        <v>293.05</v>
      </c>
      <c r="J2612" s="156">
        <v>0</v>
      </c>
      <c r="K2612" s="131">
        <f t="shared" si="173"/>
        <v>2261.61</v>
      </c>
      <c r="L2612" s="134">
        <v>0.1792</v>
      </c>
    </row>
    <row r="2613" spans="3:12">
      <c r="C2613" s="161">
        <f t="shared" si="171"/>
        <v>2018</v>
      </c>
      <c r="D2613" s="35" t="s">
        <v>299</v>
      </c>
      <c r="E2613" s="227">
        <v>43101</v>
      </c>
      <c r="F2613" s="156">
        <v>116268.99</v>
      </c>
      <c r="G2613" s="131">
        <f t="shared" si="172"/>
        <v>20835.403008000001</v>
      </c>
      <c r="H2613" s="156">
        <v>594.55999999999995</v>
      </c>
      <c r="I2613" s="156">
        <v>0</v>
      </c>
      <c r="J2613" s="156">
        <v>0</v>
      </c>
      <c r="K2613" s="131">
        <f t="shared" si="173"/>
        <v>594.55999999999995</v>
      </c>
      <c r="L2613" s="134">
        <v>0.1792</v>
      </c>
    </row>
    <row r="2614" spans="3:12">
      <c r="C2614" s="161">
        <f t="shared" si="171"/>
        <v>2018</v>
      </c>
      <c r="D2614" s="35" t="s">
        <v>299</v>
      </c>
      <c r="E2614" s="227">
        <v>43132</v>
      </c>
      <c r="F2614" s="156">
        <v>110583.81</v>
      </c>
      <c r="G2614" s="131">
        <f t="shared" si="172"/>
        <v>19816.618751999998</v>
      </c>
      <c r="H2614" s="156">
        <v>308.10000000000002</v>
      </c>
      <c r="I2614" s="156">
        <v>336.04</v>
      </c>
      <c r="J2614" s="156">
        <v>0</v>
      </c>
      <c r="K2614" s="131">
        <f t="shared" si="173"/>
        <v>644.1400000000001</v>
      </c>
      <c r="L2614" s="134">
        <v>0.1792</v>
      </c>
    </row>
    <row r="2615" spans="3:12">
      <c r="C2615" s="161">
        <f t="shared" si="171"/>
        <v>2018</v>
      </c>
      <c r="D2615" s="35" t="s">
        <v>299</v>
      </c>
      <c r="E2615" s="227">
        <v>43160</v>
      </c>
      <c r="F2615" s="156">
        <v>106746.39</v>
      </c>
      <c r="G2615" s="131">
        <f t="shared" si="172"/>
        <v>19128.953087999998</v>
      </c>
      <c r="H2615" s="156">
        <v>1013.53</v>
      </c>
      <c r="I2615" s="156">
        <v>0</v>
      </c>
      <c r="J2615" s="156">
        <v>0</v>
      </c>
      <c r="K2615" s="131">
        <f t="shared" si="173"/>
        <v>1013.53</v>
      </c>
      <c r="L2615" s="134">
        <v>0.1792</v>
      </c>
    </row>
    <row r="2616" spans="3:12">
      <c r="C2616" s="161">
        <f t="shared" si="171"/>
        <v>2018</v>
      </c>
      <c r="D2616" s="35" t="s">
        <v>299</v>
      </c>
      <c r="E2616" s="227">
        <v>43191</v>
      </c>
      <c r="F2616" s="156">
        <v>118741.34</v>
      </c>
      <c r="G2616" s="131">
        <f t="shared" si="172"/>
        <v>21278.448128</v>
      </c>
      <c r="H2616" s="156">
        <v>658.85</v>
      </c>
      <c r="I2616" s="156">
        <v>259.81</v>
      </c>
      <c r="J2616" s="156">
        <v>0</v>
      </c>
      <c r="K2616" s="131">
        <f t="shared" si="173"/>
        <v>918.66000000000008</v>
      </c>
      <c r="L2616" s="134">
        <v>0.1792</v>
      </c>
    </row>
    <row r="2617" spans="3:12">
      <c r="C2617" s="161">
        <f t="shared" si="171"/>
        <v>2018</v>
      </c>
      <c r="D2617" s="35" t="s">
        <v>299</v>
      </c>
      <c r="E2617" s="227">
        <v>43221</v>
      </c>
      <c r="F2617" s="156">
        <v>119265.95</v>
      </c>
      <c r="G2617" s="131">
        <f t="shared" si="172"/>
        <v>21372.45824</v>
      </c>
      <c r="H2617" s="156">
        <v>538.15</v>
      </c>
      <c r="I2617" s="156">
        <v>307.89999999999998</v>
      </c>
      <c r="J2617" s="156">
        <v>0</v>
      </c>
      <c r="K2617" s="131">
        <f t="shared" si="173"/>
        <v>846.05</v>
      </c>
      <c r="L2617" s="134">
        <v>0.1792</v>
      </c>
    </row>
    <row r="2618" spans="3:12">
      <c r="C2618" s="161">
        <f t="shared" si="171"/>
        <v>2018</v>
      </c>
      <c r="D2618" s="35" t="s">
        <v>299</v>
      </c>
      <c r="E2618" s="227">
        <v>43252</v>
      </c>
      <c r="F2618" s="156">
        <v>108413.07</v>
      </c>
      <c r="G2618" s="131">
        <f t="shared" si="172"/>
        <v>19427.622144000001</v>
      </c>
      <c r="H2618" s="156">
        <v>112.23</v>
      </c>
      <c r="I2618" s="156">
        <v>89.42</v>
      </c>
      <c r="J2618" s="156">
        <v>0</v>
      </c>
      <c r="K2618" s="131">
        <f t="shared" si="173"/>
        <v>201.65</v>
      </c>
      <c r="L2618" s="134">
        <v>0.1792</v>
      </c>
    </row>
    <row r="2619" spans="3:12">
      <c r="C2619" s="161">
        <f t="shared" si="171"/>
        <v>2018</v>
      </c>
      <c r="D2619" s="35" t="s">
        <v>299</v>
      </c>
      <c r="E2619" s="227">
        <v>43282</v>
      </c>
      <c r="F2619" s="156">
        <v>119311.31</v>
      </c>
      <c r="G2619" s="131">
        <f t="shared" si="172"/>
        <v>21380.586751999999</v>
      </c>
      <c r="H2619" s="156">
        <v>704.8</v>
      </c>
      <c r="I2619" s="156">
        <v>1588.79</v>
      </c>
      <c r="J2619" s="156">
        <v>0</v>
      </c>
      <c r="K2619" s="131">
        <f t="shared" si="173"/>
        <v>2293.59</v>
      </c>
      <c r="L2619" s="134">
        <v>0.1792</v>
      </c>
    </row>
    <row r="2620" spans="3:12">
      <c r="C2620" s="161">
        <f t="shared" si="171"/>
        <v>2018</v>
      </c>
      <c r="D2620" s="35" t="s">
        <v>299</v>
      </c>
      <c r="E2620" s="227">
        <v>43313</v>
      </c>
      <c r="F2620" s="156">
        <v>112745.9</v>
      </c>
      <c r="G2620" s="131">
        <f t="shared" si="172"/>
        <v>20204.065279999999</v>
      </c>
      <c r="H2620" s="156">
        <v>384.68</v>
      </c>
      <c r="I2620" s="156">
        <v>39.130000000000003</v>
      </c>
      <c r="J2620" s="156">
        <v>0</v>
      </c>
      <c r="K2620" s="131">
        <f t="shared" si="173"/>
        <v>423.81</v>
      </c>
      <c r="L2620" s="134">
        <v>0.1792</v>
      </c>
    </row>
    <row r="2621" spans="3:12">
      <c r="C2621" s="161">
        <f t="shared" si="171"/>
        <v>2018</v>
      </c>
      <c r="D2621" s="35" t="s">
        <v>299</v>
      </c>
      <c r="E2621" s="227">
        <v>43344</v>
      </c>
      <c r="F2621" s="156">
        <v>118604.88</v>
      </c>
      <c r="G2621" s="131">
        <f t="shared" si="172"/>
        <v>21253.994495999999</v>
      </c>
      <c r="H2621" s="156">
        <v>338.6</v>
      </c>
      <c r="I2621" s="156">
        <v>0</v>
      </c>
      <c r="J2621" s="156">
        <v>0</v>
      </c>
      <c r="K2621" s="131">
        <f t="shared" si="173"/>
        <v>338.6</v>
      </c>
      <c r="L2621" s="134">
        <v>0.1792</v>
      </c>
    </row>
    <row r="2622" spans="3:12">
      <c r="C2622" s="161">
        <f t="shared" si="171"/>
        <v>2018</v>
      </c>
      <c r="D2622" s="35" t="s">
        <v>299</v>
      </c>
      <c r="E2622" s="227">
        <v>43374</v>
      </c>
      <c r="F2622" s="156">
        <v>124244.11</v>
      </c>
      <c r="G2622" s="131">
        <f t="shared" si="172"/>
        <v>22264.544512</v>
      </c>
      <c r="H2622" s="156">
        <v>213.41</v>
      </c>
      <c r="I2622" s="156">
        <v>251774.4</v>
      </c>
      <c r="J2622" s="156">
        <v>0</v>
      </c>
      <c r="K2622" s="131">
        <f t="shared" si="173"/>
        <v>251987.81</v>
      </c>
      <c r="L2622" s="134">
        <v>0.1792</v>
      </c>
    </row>
    <row r="2623" spans="3:12">
      <c r="C2623" s="161">
        <f t="shared" si="171"/>
        <v>2018</v>
      </c>
      <c r="D2623" s="35" t="s">
        <v>299</v>
      </c>
      <c r="E2623" s="227">
        <v>43405</v>
      </c>
      <c r="F2623" s="156">
        <v>120044.04555</v>
      </c>
      <c r="G2623" s="131">
        <f t="shared" si="172"/>
        <v>21511.892962559999</v>
      </c>
      <c r="H2623" s="156">
        <v>508.72</v>
      </c>
      <c r="I2623" s="156">
        <v>0</v>
      </c>
      <c r="J2623" s="156">
        <v>0</v>
      </c>
      <c r="K2623" s="131">
        <f t="shared" si="173"/>
        <v>508.72</v>
      </c>
      <c r="L2623" s="134">
        <v>0.1792</v>
      </c>
    </row>
    <row r="2624" spans="3:12">
      <c r="C2624" s="161">
        <f t="shared" si="171"/>
        <v>2018</v>
      </c>
      <c r="D2624" s="35" t="s">
        <v>299</v>
      </c>
      <c r="E2624" s="227">
        <v>43435</v>
      </c>
      <c r="F2624" s="156">
        <v>125515.09</v>
      </c>
      <c r="G2624" s="131">
        <f t="shared" si="172"/>
        <v>22492.304128</v>
      </c>
      <c r="H2624" s="156">
        <v>385.87</v>
      </c>
      <c r="I2624" s="156">
        <v>74521.47</v>
      </c>
      <c r="J2624" s="156">
        <v>1958</v>
      </c>
      <c r="K2624" s="131">
        <f t="shared" si="173"/>
        <v>76865.34</v>
      </c>
      <c r="L2624" s="134">
        <v>0.1792</v>
      </c>
    </row>
    <row r="2625" spans="3:12">
      <c r="C2625" s="161">
        <f t="shared" si="171"/>
        <v>2019</v>
      </c>
      <c r="D2625" s="35" t="s">
        <v>299</v>
      </c>
      <c r="E2625" s="227">
        <v>43466</v>
      </c>
      <c r="F2625" s="156">
        <v>128911.52</v>
      </c>
      <c r="G2625" s="131">
        <f t="shared" si="172"/>
        <v>23100.944384000002</v>
      </c>
      <c r="H2625" s="156">
        <v>526.58000000000004</v>
      </c>
      <c r="I2625" s="156">
        <v>152.15</v>
      </c>
      <c r="J2625" s="156">
        <v>0</v>
      </c>
      <c r="K2625" s="131">
        <f t="shared" si="173"/>
        <v>678.73</v>
      </c>
      <c r="L2625" s="134">
        <v>0.1792</v>
      </c>
    </row>
    <row r="2626" spans="3:12">
      <c r="C2626" s="161">
        <f t="shared" si="171"/>
        <v>2019</v>
      </c>
      <c r="D2626" s="35" t="s">
        <v>299</v>
      </c>
      <c r="E2626" s="227">
        <v>43497</v>
      </c>
      <c r="F2626" s="156">
        <v>129528.15</v>
      </c>
      <c r="G2626" s="131">
        <f t="shared" si="172"/>
        <v>23211.444479999998</v>
      </c>
      <c r="H2626" s="156">
        <v>561.57000000000005</v>
      </c>
      <c r="I2626" s="156">
        <v>7895.37</v>
      </c>
      <c r="J2626" s="156">
        <v>0</v>
      </c>
      <c r="K2626" s="131">
        <f t="shared" si="173"/>
        <v>8456.94</v>
      </c>
      <c r="L2626" s="134">
        <v>0.1792</v>
      </c>
    </row>
    <row r="2627" spans="3:12">
      <c r="C2627" s="161">
        <f t="shared" si="171"/>
        <v>2019</v>
      </c>
      <c r="D2627" s="35" t="s">
        <v>299</v>
      </c>
      <c r="E2627" s="227">
        <v>43525</v>
      </c>
      <c r="F2627" s="156">
        <v>113476.24</v>
      </c>
      <c r="G2627" s="131">
        <f t="shared" si="172"/>
        <v>20334.942208</v>
      </c>
      <c r="H2627" s="156">
        <v>1006.42</v>
      </c>
      <c r="I2627" s="156">
        <v>192.9</v>
      </c>
      <c r="J2627" s="156">
        <v>0</v>
      </c>
      <c r="K2627" s="131">
        <f t="shared" si="173"/>
        <v>1199.32</v>
      </c>
      <c r="L2627" s="134">
        <v>0.1792</v>
      </c>
    </row>
    <row r="2628" spans="3:12">
      <c r="C2628" s="161">
        <f t="shared" ref="C2628:C2691" si="174">YEAR(E2628)</f>
        <v>2019</v>
      </c>
      <c r="D2628" s="35" t="s">
        <v>299</v>
      </c>
      <c r="E2628" s="227">
        <v>43556</v>
      </c>
      <c r="F2628" s="156">
        <v>119326.68</v>
      </c>
      <c r="G2628" s="131">
        <f t="shared" ref="G2628:G2691" si="175">F2628*L2628</f>
        <v>21383.341055999997</v>
      </c>
      <c r="H2628" s="156">
        <v>707</v>
      </c>
      <c r="I2628" s="156">
        <v>20839.3</v>
      </c>
      <c r="J2628" s="156">
        <v>9770.2199999999993</v>
      </c>
      <c r="K2628" s="131">
        <f t="shared" ref="K2628:K2691" si="176">SUM(H2628:J2628)</f>
        <v>31316.519999999997</v>
      </c>
      <c r="L2628" s="134">
        <v>0.1792</v>
      </c>
    </row>
    <row r="2629" spans="3:12">
      <c r="C2629" s="161">
        <f t="shared" si="174"/>
        <v>2019</v>
      </c>
      <c r="D2629" s="35" t="s">
        <v>299</v>
      </c>
      <c r="E2629" s="227">
        <v>43586</v>
      </c>
      <c r="F2629" s="156">
        <v>115625.51</v>
      </c>
      <c r="G2629" s="131">
        <f t="shared" si="175"/>
        <v>20720.091391999998</v>
      </c>
      <c r="H2629" s="156">
        <v>2813.79</v>
      </c>
      <c r="I2629" s="156">
        <v>1243.75</v>
      </c>
      <c r="J2629" s="156">
        <v>0</v>
      </c>
      <c r="K2629" s="131">
        <f t="shared" si="176"/>
        <v>4057.54</v>
      </c>
      <c r="L2629" s="134">
        <v>0.1792</v>
      </c>
    </row>
    <row r="2630" spans="3:12">
      <c r="C2630" s="161">
        <f t="shared" si="174"/>
        <v>2019</v>
      </c>
      <c r="D2630" s="35" t="s">
        <v>299</v>
      </c>
      <c r="E2630" s="227">
        <v>43617</v>
      </c>
      <c r="F2630" s="156">
        <v>115718.62</v>
      </c>
      <c r="G2630" s="131">
        <f t="shared" si="175"/>
        <v>20736.776704</v>
      </c>
      <c r="H2630" s="156">
        <v>11095.35</v>
      </c>
      <c r="I2630" s="156">
        <v>74335.09</v>
      </c>
      <c r="J2630" s="156">
        <v>0</v>
      </c>
      <c r="K2630" s="131">
        <f t="shared" si="176"/>
        <v>85430.44</v>
      </c>
      <c r="L2630" s="134">
        <v>0.1792</v>
      </c>
    </row>
    <row r="2631" spans="3:12">
      <c r="C2631" s="161">
        <f t="shared" si="174"/>
        <v>2019</v>
      </c>
      <c r="D2631" s="35" t="s">
        <v>299</v>
      </c>
      <c r="E2631" s="227">
        <v>43647</v>
      </c>
      <c r="F2631" s="156">
        <v>115928.58</v>
      </c>
      <c r="G2631" s="131">
        <f t="shared" si="175"/>
        <v>20774.401536000001</v>
      </c>
      <c r="H2631" s="156">
        <v>725.4</v>
      </c>
      <c r="I2631" s="156">
        <v>30255.67</v>
      </c>
      <c r="J2631" s="156">
        <v>0</v>
      </c>
      <c r="K2631" s="131">
        <f t="shared" si="176"/>
        <v>30981.07</v>
      </c>
      <c r="L2631" s="134">
        <v>0.1792</v>
      </c>
    </row>
    <row r="2632" spans="3:12">
      <c r="C2632" s="161">
        <f t="shared" si="174"/>
        <v>2019</v>
      </c>
      <c r="D2632" s="35" t="s">
        <v>299</v>
      </c>
      <c r="E2632" s="227">
        <v>43678</v>
      </c>
      <c r="F2632" s="156">
        <v>131616.69</v>
      </c>
      <c r="G2632" s="131">
        <f t="shared" si="175"/>
        <v>23585.710847999999</v>
      </c>
      <c r="H2632" s="156">
        <v>1374.53</v>
      </c>
      <c r="I2632" s="156">
        <v>138.74</v>
      </c>
      <c r="J2632" s="156">
        <v>0</v>
      </c>
      <c r="K2632" s="131">
        <f t="shared" si="176"/>
        <v>1513.27</v>
      </c>
      <c r="L2632" s="134">
        <v>0.1792</v>
      </c>
    </row>
    <row r="2633" spans="3:12">
      <c r="C2633" s="161">
        <f t="shared" si="174"/>
        <v>2019</v>
      </c>
      <c r="D2633" s="35" t="s">
        <v>299</v>
      </c>
      <c r="E2633" s="227">
        <v>43709</v>
      </c>
      <c r="F2633" s="156">
        <v>141304.04999999999</v>
      </c>
      <c r="G2633" s="131">
        <f t="shared" si="175"/>
        <v>25321.685759999997</v>
      </c>
      <c r="H2633" s="156">
        <v>492.54</v>
      </c>
      <c r="I2633" s="156">
        <v>126.74</v>
      </c>
      <c r="J2633" s="156">
        <v>4312</v>
      </c>
      <c r="K2633" s="131">
        <f t="shared" si="176"/>
        <v>4931.28</v>
      </c>
      <c r="L2633" s="134">
        <v>0.1792</v>
      </c>
    </row>
    <row r="2634" spans="3:12">
      <c r="C2634" s="161">
        <f t="shared" si="174"/>
        <v>2019</v>
      </c>
      <c r="D2634" s="35" t="s">
        <v>299</v>
      </c>
      <c r="E2634" s="227">
        <v>43739</v>
      </c>
      <c r="F2634" s="156">
        <v>138443.35</v>
      </c>
      <c r="G2634" s="131">
        <f t="shared" si="175"/>
        <v>24809.048320000002</v>
      </c>
      <c r="H2634" s="156">
        <v>370.24</v>
      </c>
      <c r="I2634" s="156">
        <v>91.56</v>
      </c>
      <c r="J2634" s="156">
        <v>0</v>
      </c>
      <c r="K2634" s="131">
        <f t="shared" si="176"/>
        <v>461.8</v>
      </c>
      <c r="L2634" s="134">
        <v>0.1792</v>
      </c>
    </row>
    <row r="2635" spans="3:12">
      <c r="C2635" s="161">
        <f t="shared" si="174"/>
        <v>2019</v>
      </c>
      <c r="D2635" s="35" t="s">
        <v>299</v>
      </c>
      <c r="E2635" s="227">
        <v>43770</v>
      </c>
      <c r="F2635" s="156">
        <v>139950.06</v>
      </c>
      <c r="G2635" s="131">
        <f t="shared" si="175"/>
        <v>25079.050751999999</v>
      </c>
      <c r="H2635" s="156">
        <v>562.07000000000005</v>
      </c>
      <c r="I2635" s="156">
        <v>2583.79</v>
      </c>
      <c r="J2635" s="156">
        <v>0</v>
      </c>
      <c r="K2635" s="131">
        <f t="shared" si="176"/>
        <v>3145.86</v>
      </c>
      <c r="L2635" s="134">
        <v>0.1792</v>
      </c>
    </row>
    <row r="2636" spans="3:12">
      <c r="C2636" s="161">
        <f t="shared" si="174"/>
        <v>2019</v>
      </c>
      <c r="D2636" s="35" t="s">
        <v>299</v>
      </c>
      <c r="E2636" s="227">
        <v>43800</v>
      </c>
      <c r="F2636" s="156">
        <v>132188.35</v>
      </c>
      <c r="G2636" s="131">
        <f t="shared" si="175"/>
        <v>23688.152320000001</v>
      </c>
      <c r="H2636" s="156">
        <v>391.82</v>
      </c>
      <c r="I2636" s="156">
        <v>40098.6</v>
      </c>
      <c r="J2636" s="156">
        <v>0</v>
      </c>
      <c r="K2636" s="131">
        <f t="shared" si="176"/>
        <v>40490.42</v>
      </c>
      <c r="L2636" s="134">
        <v>0.1792</v>
      </c>
    </row>
    <row r="2637" spans="3:12">
      <c r="C2637" s="161">
        <f t="shared" si="174"/>
        <v>2020</v>
      </c>
      <c r="D2637" s="35" t="s">
        <v>299</v>
      </c>
      <c r="E2637" s="227">
        <v>43831</v>
      </c>
      <c r="F2637" s="156">
        <v>133062.39000000001</v>
      </c>
      <c r="G2637" s="131">
        <f t="shared" si="175"/>
        <v>23844.780288000002</v>
      </c>
      <c r="H2637" s="156">
        <v>229.51</v>
      </c>
      <c r="I2637" s="156">
        <v>2062.5100000000002</v>
      </c>
      <c r="J2637" s="156">
        <v>0</v>
      </c>
      <c r="K2637" s="131">
        <f t="shared" si="176"/>
        <v>2292.0200000000004</v>
      </c>
      <c r="L2637" s="134">
        <v>0.1792</v>
      </c>
    </row>
    <row r="2638" spans="3:12">
      <c r="C2638" s="161">
        <f t="shared" si="174"/>
        <v>2020</v>
      </c>
      <c r="D2638" s="35" t="s">
        <v>299</v>
      </c>
      <c r="E2638" s="227">
        <v>43862</v>
      </c>
      <c r="F2638" s="156">
        <v>132431.67000000001</v>
      </c>
      <c r="G2638" s="131">
        <f t="shared" si="175"/>
        <v>23731.755264000003</v>
      </c>
      <c r="H2638" s="156">
        <v>894.27</v>
      </c>
      <c r="I2638" s="156">
        <v>7083.26</v>
      </c>
      <c r="J2638" s="156">
        <v>0</v>
      </c>
      <c r="K2638" s="131">
        <f t="shared" si="176"/>
        <v>7977.5300000000007</v>
      </c>
      <c r="L2638" s="134">
        <v>0.1792</v>
      </c>
    </row>
    <row r="2639" spans="3:12">
      <c r="C2639" s="161">
        <f t="shared" si="174"/>
        <v>2020</v>
      </c>
      <c r="D2639" s="35" t="s">
        <v>299</v>
      </c>
      <c r="E2639" s="227">
        <v>43891</v>
      </c>
      <c r="F2639" s="156">
        <v>127969.397325</v>
      </c>
      <c r="G2639" s="131">
        <f t="shared" si="175"/>
        <v>22932.116000639999</v>
      </c>
      <c r="H2639" s="156">
        <v>471.63</v>
      </c>
      <c r="I2639" s="156">
        <v>3066.74</v>
      </c>
      <c r="J2639" s="156">
        <v>0</v>
      </c>
      <c r="K2639" s="131">
        <f t="shared" si="176"/>
        <v>3538.37</v>
      </c>
      <c r="L2639" s="134">
        <v>0.1792</v>
      </c>
    </row>
    <row r="2640" spans="3:12">
      <c r="C2640" s="161">
        <f t="shared" si="174"/>
        <v>2020</v>
      </c>
      <c r="D2640" s="35" t="s">
        <v>299</v>
      </c>
      <c r="E2640" s="227">
        <v>43922</v>
      </c>
      <c r="F2640" s="156">
        <v>134048.19532500001</v>
      </c>
      <c r="G2640" s="131">
        <f t="shared" si="175"/>
        <v>24021.436602240003</v>
      </c>
      <c r="H2640" s="156">
        <v>113.86</v>
      </c>
      <c r="I2640" s="156">
        <v>1013.75</v>
      </c>
      <c r="J2640" s="156">
        <v>0</v>
      </c>
      <c r="K2640" s="131">
        <f t="shared" si="176"/>
        <v>1127.6099999999999</v>
      </c>
      <c r="L2640" s="134">
        <v>0.1792</v>
      </c>
    </row>
    <row r="2641" spans="3:12">
      <c r="C2641" s="161">
        <f t="shared" si="174"/>
        <v>2020</v>
      </c>
      <c r="D2641" s="35" t="s">
        <v>299</v>
      </c>
      <c r="E2641" s="227">
        <v>43952</v>
      </c>
      <c r="F2641" s="156">
        <v>126194.25</v>
      </c>
      <c r="G2641" s="131">
        <f t="shared" si="175"/>
        <v>22614.009600000001</v>
      </c>
      <c r="H2641" s="156">
        <v>467.14</v>
      </c>
      <c r="I2641" s="156">
        <v>20099.04</v>
      </c>
      <c r="J2641" s="156">
        <v>0</v>
      </c>
      <c r="K2641" s="131">
        <f t="shared" si="176"/>
        <v>20566.18</v>
      </c>
      <c r="L2641" s="134">
        <v>0.1792</v>
      </c>
    </row>
    <row r="2642" spans="3:12">
      <c r="C2642" s="161">
        <f t="shared" si="174"/>
        <v>2020</v>
      </c>
      <c r="D2642" s="35" t="s">
        <v>299</v>
      </c>
      <c r="E2642" s="227">
        <v>43983</v>
      </c>
      <c r="F2642" s="156">
        <v>114318.87</v>
      </c>
      <c r="G2642" s="131">
        <f t="shared" si="175"/>
        <v>20485.941503999999</v>
      </c>
      <c r="H2642" s="156">
        <v>236.49</v>
      </c>
      <c r="I2642" s="156">
        <v>613.97</v>
      </c>
      <c r="J2642" s="156">
        <v>0</v>
      </c>
      <c r="K2642" s="131">
        <f t="shared" si="176"/>
        <v>850.46</v>
      </c>
      <c r="L2642" s="134">
        <v>0.1792</v>
      </c>
    </row>
    <row r="2643" spans="3:12">
      <c r="C2643" s="161">
        <f t="shared" si="174"/>
        <v>2020</v>
      </c>
      <c r="D2643" s="35" t="s">
        <v>299</v>
      </c>
      <c r="E2643" s="227">
        <v>44013</v>
      </c>
      <c r="F2643" s="156">
        <v>118878.67</v>
      </c>
      <c r="G2643" s="131">
        <f t="shared" si="175"/>
        <v>21303.057664</v>
      </c>
      <c r="H2643" s="156">
        <v>1384.37</v>
      </c>
      <c r="I2643" s="156">
        <v>5481.24</v>
      </c>
      <c r="J2643" s="156">
        <v>663.7</v>
      </c>
      <c r="K2643" s="131">
        <f t="shared" si="176"/>
        <v>7529.3099999999995</v>
      </c>
      <c r="L2643" s="134">
        <v>0.1792</v>
      </c>
    </row>
    <row r="2644" spans="3:12">
      <c r="C2644" s="161">
        <f t="shared" si="174"/>
        <v>2020</v>
      </c>
      <c r="D2644" s="35" t="s">
        <v>299</v>
      </c>
      <c r="E2644" s="227">
        <v>44044</v>
      </c>
      <c r="F2644" s="156">
        <v>128312.9</v>
      </c>
      <c r="G2644" s="131">
        <f t="shared" si="175"/>
        <v>22993.671679999999</v>
      </c>
      <c r="H2644" s="156">
        <v>196.08</v>
      </c>
      <c r="I2644" s="156">
        <v>2048.2399999999998</v>
      </c>
      <c r="J2644" s="156">
        <v>0</v>
      </c>
      <c r="K2644" s="131">
        <f t="shared" si="176"/>
        <v>2244.3199999999997</v>
      </c>
      <c r="L2644" s="134">
        <v>0.1792</v>
      </c>
    </row>
    <row r="2645" spans="3:12">
      <c r="C2645" s="161">
        <f t="shared" si="174"/>
        <v>2020</v>
      </c>
      <c r="D2645" s="35" t="s">
        <v>299</v>
      </c>
      <c r="E2645" s="227">
        <v>44075</v>
      </c>
      <c r="F2645" s="156">
        <v>129435.24</v>
      </c>
      <c r="G2645" s="131">
        <f t="shared" si="175"/>
        <v>23194.795008000001</v>
      </c>
      <c r="H2645" s="156">
        <v>629.80999999999995</v>
      </c>
      <c r="I2645" s="156">
        <v>1811.94</v>
      </c>
      <c r="J2645" s="156">
        <v>0</v>
      </c>
      <c r="K2645" s="131">
        <f t="shared" si="176"/>
        <v>2441.75</v>
      </c>
      <c r="L2645" s="134">
        <v>0.1792</v>
      </c>
    </row>
    <row r="2646" spans="3:12">
      <c r="C2646" s="161">
        <f t="shared" si="174"/>
        <v>2020</v>
      </c>
      <c r="D2646" s="35" t="s">
        <v>299</v>
      </c>
      <c r="E2646" s="227">
        <v>44105</v>
      </c>
      <c r="F2646" s="156">
        <v>149243.66</v>
      </c>
      <c r="G2646" s="131">
        <f t="shared" si="175"/>
        <v>26744.463872</v>
      </c>
      <c r="H2646" s="156">
        <v>16940.37</v>
      </c>
      <c r="I2646" s="156">
        <v>0</v>
      </c>
      <c r="J2646" s="156">
        <v>0</v>
      </c>
      <c r="K2646" s="131">
        <f t="shared" si="176"/>
        <v>16940.37</v>
      </c>
      <c r="L2646" s="134">
        <v>0.1792</v>
      </c>
    </row>
    <row r="2647" spans="3:12">
      <c r="C2647" s="161">
        <f t="shared" si="174"/>
        <v>2020</v>
      </c>
      <c r="D2647" s="35" t="s">
        <v>299</v>
      </c>
      <c r="E2647" s="227">
        <v>44136</v>
      </c>
      <c r="F2647" s="156">
        <v>143226.89000000001</v>
      </c>
      <c r="G2647" s="131">
        <f t="shared" si="175"/>
        <v>25666.258688000002</v>
      </c>
      <c r="H2647" s="156">
        <v>210.14</v>
      </c>
      <c r="I2647" s="156">
        <v>78724.210000000006</v>
      </c>
      <c r="J2647" s="156">
        <v>0</v>
      </c>
      <c r="K2647" s="131">
        <f t="shared" si="176"/>
        <v>78934.350000000006</v>
      </c>
      <c r="L2647" s="134">
        <v>0.1792</v>
      </c>
    </row>
    <row r="2648" spans="3:12">
      <c r="C2648" s="161">
        <f t="shared" si="174"/>
        <v>2020</v>
      </c>
      <c r="D2648" s="35" t="s">
        <v>299</v>
      </c>
      <c r="E2648" s="227">
        <v>44166</v>
      </c>
      <c r="F2648" s="156">
        <v>145290.22</v>
      </c>
      <c r="G2648" s="131">
        <f t="shared" si="175"/>
        <v>26036.007423999999</v>
      </c>
      <c r="H2648" s="156">
        <v>1827.5</v>
      </c>
      <c r="I2648" s="156">
        <v>2820.47</v>
      </c>
      <c r="J2648" s="156">
        <v>0</v>
      </c>
      <c r="K2648" s="131">
        <f t="shared" si="176"/>
        <v>4647.9699999999993</v>
      </c>
      <c r="L2648" s="134">
        <v>0.1792</v>
      </c>
    </row>
    <row r="2649" spans="3:12">
      <c r="C2649" s="161">
        <f t="shared" si="174"/>
        <v>2021</v>
      </c>
      <c r="D2649" s="35" t="s">
        <v>299</v>
      </c>
      <c r="E2649" s="227">
        <v>44197</v>
      </c>
      <c r="F2649" s="156">
        <v>151136.01</v>
      </c>
      <c r="G2649" s="131">
        <f t="shared" si="175"/>
        <v>27083.572992000001</v>
      </c>
      <c r="H2649" s="156">
        <v>549.66999999999996</v>
      </c>
      <c r="I2649" s="156">
        <v>0</v>
      </c>
      <c r="J2649" s="156">
        <v>0</v>
      </c>
      <c r="K2649" s="131">
        <f t="shared" si="176"/>
        <v>549.66999999999996</v>
      </c>
      <c r="L2649" s="134">
        <v>0.1792</v>
      </c>
    </row>
    <row r="2650" spans="3:12">
      <c r="C2650" s="161">
        <f t="shared" si="174"/>
        <v>2021</v>
      </c>
      <c r="D2650" s="35" t="s">
        <v>299</v>
      </c>
      <c r="E2650" s="227">
        <v>44229</v>
      </c>
      <c r="F2650" s="156">
        <v>133863.57999999999</v>
      </c>
      <c r="G2650" s="131">
        <f t="shared" si="175"/>
        <v>23988.353535999999</v>
      </c>
      <c r="H2650" s="156">
        <v>852.85</v>
      </c>
      <c r="I2650" s="156">
        <v>0</v>
      </c>
      <c r="J2650" s="156">
        <v>0</v>
      </c>
      <c r="K2650" s="131">
        <f t="shared" si="176"/>
        <v>852.85</v>
      </c>
      <c r="L2650" s="134">
        <v>0.1792</v>
      </c>
    </row>
    <row r="2651" spans="3:12">
      <c r="C2651" s="161">
        <f t="shared" si="174"/>
        <v>2021</v>
      </c>
      <c r="D2651" s="35" t="s">
        <v>299</v>
      </c>
      <c r="E2651" s="227">
        <v>44258</v>
      </c>
      <c r="F2651" s="156">
        <v>131704.99</v>
      </c>
      <c r="G2651" s="131">
        <f t="shared" si="175"/>
        <v>23601.534207999997</v>
      </c>
      <c r="H2651" s="156">
        <v>638.79999999999995</v>
      </c>
      <c r="I2651" s="156">
        <v>912.52</v>
      </c>
      <c r="J2651" s="156">
        <v>0</v>
      </c>
      <c r="K2651" s="131">
        <f t="shared" si="176"/>
        <v>1551.32</v>
      </c>
      <c r="L2651" s="134">
        <v>0.1792</v>
      </c>
    </row>
    <row r="2652" spans="3:12">
      <c r="C2652" s="161">
        <f t="shared" si="174"/>
        <v>2021</v>
      </c>
      <c r="D2652" s="35" t="s">
        <v>299</v>
      </c>
      <c r="E2652" s="227">
        <v>44290</v>
      </c>
      <c r="F2652" s="156">
        <v>145655.20000000001</v>
      </c>
      <c r="G2652" s="131">
        <f t="shared" si="175"/>
        <v>26101.411840000001</v>
      </c>
      <c r="H2652" s="156">
        <v>326.27</v>
      </c>
      <c r="I2652" s="156">
        <v>850.77</v>
      </c>
      <c r="J2652" s="156">
        <v>0</v>
      </c>
      <c r="K2652" s="131">
        <f t="shared" si="176"/>
        <v>1177.04</v>
      </c>
      <c r="L2652" s="134">
        <v>0.1792</v>
      </c>
    </row>
    <row r="2653" spans="3:12">
      <c r="C2653" s="161">
        <f t="shared" si="174"/>
        <v>2021</v>
      </c>
      <c r="D2653" s="35" t="s">
        <v>299</v>
      </c>
      <c r="E2653" s="227">
        <v>44321</v>
      </c>
      <c r="F2653" s="156">
        <v>133273.76</v>
      </c>
      <c r="G2653" s="131">
        <f t="shared" si="175"/>
        <v>23882.657792000002</v>
      </c>
      <c r="H2653" s="156">
        <v>5061.25</v>
      </c>
      <c r="I2653" s="156">
        <v>0</v>
      </c>
      <c r="J2653" s="156">
        <v>0</v>
      </c>
      <c r="K2653" s="131">
        <f t="shared" si="176"/>
        <v>5061.25</v>
      </c>
      <c r="L2653" s="134">
        <v>0.1792</v>
      </c>
    </row>
    <row r="2654" spans="3:12">
      <c r="C2654" s="161">
        <f t="shared" si="174"/>
        <v>2021</v>
      </c>
      <c r="D2654" s="35" t="s">
        <v>299</v>
      </c>
      <c r="E2654" s="227">
        <v>44353</v>
      </c>
      <c r="F2654" s="156">
        <v>126922.79</v>
      </c>
      <c r="G2654" s="131">
        <f t="shared" si="175"/>
        <v>22744.563967999999</v>
      </c>
      <c r="H2654" s="156">
        <v>752.83</v>
      </c>
      <c r="I2654" s="156">
        <v>0</v>
      </c>
      <c r="J2654" s="156">
        <v>0</v>
      </c>
      <c r="K2654" s="131">
        <f t="shared" si="176"/>
        <v>752.83</v>
      </c>
      <c r="L2654" s="134">
        <v>0.1792</v>
      </c>
    </row>
    <row r="2655" spans="3:12">
      <c r="C2655" s="161">
        <f t="shared" si="174"/>
        <v>2015</v>
      </c>
      <c r="D2655" s="35" t="s">
        <v>300</v>
      </c>
      <c r="E2655" s="227">
        <v>42309</v>
      </c>
      <c r="F2655" s="156">
        <v>341016.75</v>
      </c>
      <c r="G2655" s="131">
        <f t="shared" si="175"/>
        <v>61110.2016</v>
      </c>
      <c r="H2655" s="156">
        <v>73592.929999999993</v>
      </c>
      <c r="I2655" s="156">
        <v>0</v>
      </c>
      <c r="J2655" s="156">
        <v>0</v>
      </c>
      <c r="K2655" s="131">
        <f t="shared" si="176"/>
        <v>73592.929999999993</v>
      </c>
      <c r="L2655" s="134">
        <v>0.1792</v>
      </c>
    </row>
    <row r="2656" spans="3:12">
      <c r="C2656" s="161">
        <f t="shared" si="174"/>
        <v>2015</v>
      </c>
      <c r="D2656" s="35" t="s">
        <v>300</v>
      </c>
      <c r="E2656" s="227">
        <v>42339</v>
      </c>
      <c r="F2656" s="156">
        <v>336307.4</v>
      </c>
      <c r="G2656" s="131">
        <f t="shared" si="175"/>
        <v>60266.286080000005</v>
      </c>
      <c r="H2656" s="156">
        <v>3912.75</v>
      </c>
      <c r="I2656" s="156">
        <v>79395.679999999993</v>
      </c>
      <c r="J2656" s="156">
        <v>0</v>
      </c>
      <c r="K2656" s="131">
        <f t="shared" si="176"/>
        <v>83308.429999999993</v>
      </c>
      <c r="L2656" s="134">
        <v>0.1792</v>
      </c>
    </row>
    <row r="2657" spans="3:12">
      <c r="C2657" s="161">
        <f t="shared" si="174"/>
        <v>2016</v>
      </c>
      <c r="D2657" s="35" t="s">
        <v>300</v>
      </c>
      <c r="E2657" s="227">
        <v>42370</v>
      </c>
      <c r="F2657" s="156">
        <v>320323.40999999997</v>
      </c>
      <c r="G2657" s="131">
        <f t="shared" si="175"/>
        <v>57401.955071999997</v>
      </c>
      <c r="H2657" s="156">
        <v>2066.35</v>
      </c>
      <c r="I2657" s="156">
        <v>0</v>
      </c>
      <c r="J2657" s="156">
        <v>0</v>
      </c>
      <c r="K2657" s="131">
        <f t="shared" si="176"/>
        <v>2066.35</v>
      </c>
      <c r="L2657" s="134">
        <v>0.1792</v>
      </c>
    </row>
    <row r="2658" spans="3:12">
      <c r="C2658" s="161">
        <f t="shared" si="174"/>
        <v>2016</v>
      </c>
      <c r="D2658" s="35" t="s">
        <v>300</v>
      </c>
      <c r="E2658" s="227">
        <v>42401</v>
      </c>
      <c r="F2658" s="156">
        <v>312428.36</v>
      </c>
      <c r="G2658" s="131">
        <f t="shared" si="175"/>
        <v>55987.162111999998</v>
      </c>
      <c r="H2658" s="156">
        <v>1179.8399999999999</v>
      </c>
      <c r="I2658" s="156">
        <v>0</v>
      </c>
      <c r="J2658" s="156">
        <v>0</v>
      </c>
      <c r="K2658" s="131">
        <f t="shared" si="176"/>
        <v>1179.8399999999999</v>
      </c>
      <c r="L2658" s="134">
        <v>0.1792</v>
      </c>
    </row>
    <row r="2659" spans="3:12">
      <c r="C2659" s="161">
        <f t="shared" si="174"/>
        <v>2016</v>
      </c>
      <c r="D2659" s="35" t="s">
        <v>300</v>
      </c>
      <c r="E2659" s="227">
        <v>42430</v>
      </c>
      <c r="F2659" s="156">
        <v>303531.15999999997</v>
      </c>
      <c r="G2659" s="131">
        <f t="shared" si="175"/>
        <v>54392.783871999993</v>
      </c>
      <c r="H2659" s="156">
        <v>2207.9</v>
      </c>
      <c r="I2659" s="156">
        <v>37490.35</v>
      </c>
      <c r="J2659" s="156">
        <v>0</v>
      </c>
      <c r="K2659" s="131">
        <f t="shared" si="176"/>
        <v>39698.25</v>
      </c>
      <c r="L2659" s="134">
        <v>0.1792</v>
      </c>
    </row>
    <row r="2660" spans="3:12">
      <c r="C2660" s="161">
        <f t="shared" si="174"/>
        <v>2016</v>
      </c>
      <c r="D2660" s="35" t="s">
        <v>300</v>
      </c>
      <c r="E2660" s="227">
        <v>42461</v>
      </c>
      <c r="F2660" s="156">
        <v>302672.69</v>
      </c>
      <c r="G2660" s="131">
        <f t="shared" si="175"/>
        <v>54238.946047999998</v>
      </c>
      <c r="H2660" s="156">
        <v>8739.33</v>
      </c>
      <c r="I2660" s="156">
        <v>0</v>
      </c>
      <c r="J2660" s="156">
        <v>7124.32</v>
      </c>
      <c r="K2660" s="131">
        <f t="shared" si="176"/>
        <v>15863.65</v>
      </c>
      <c r="L2660" s="134">
        <v>0.1792</v>
      </c>
    </row>
    <row r="2661" spans="3:12">
      <c r="C2661" s="161">
        <f t="shared" si="174"/>
        <v>2016</v>
      </c>
      <c r="D2661" s="35" t="s">
        <v>300</v>
      </c>
      <c r="E2661" s="227">
        <v>42491</v>
      </c>
      <c r="F2661" s="156">
        <v>319711.81</v>
      </c>
      <c r="G2661" s="131">
        <f t="shared" si="175"/>
        <v>57292.356352000003</v>
      </c>
      <c r="H2661" s="156">
        <v>3168.11</v>
      </c>
      <c r="I2661" s="156">
        <v>50816.34</v>
      </c>
      <c r="J2661" s="156">
        <v>0</v>
      </c>
      <c r="K2661" s="131">
        <f t="shared" si="176"/>
        <v>53984.45</v>
      </c>
      <c r="L2661" s="134">
        <v>0.1792</v>
      </c>
    </row>
    <row r="2662" spans="3:12">
      <c r="C2662" s="161">
        <f t="shared" si="174"/>
        <v>2016</v>
      </c>
      <c r="D2662" s="35" t="s">
        <v>300</v>
      </c>
      <c r="E2662" s="227">
        <v>42522</v>
      </c>
      <c r="F2662" s="156">
        <v>311492.88</v>
      </c>
      <c r="G2662" s="131">
        <f t="shared" si="175"/>
        <v>55819.524096000001</v>
      </c>
      <c r="H2662" s="156">
        <v>66954.600000000006</v>
      </c>
      <c r="I2662" s="156">
        <v>119857.47</v>
      </c>
      <c r="J2662" s="156">
        <v>9709.06</v>
      </c>
      <c r="K2662" s="131">
        <f t="shared" si="176"/>
        <v>196521.13</v>
      </c>
      <c r="L2662" s="134">
        <v>0.1792</v>
      </c>
    </row>
    <row r="2663" spans="3:12">
      <c r="C2663" s="161">
        <f t="shared" si="174"/>
        <v>2016</v>
      </c>
      <c r="D2663" s="35" t="s">
        <v>300</v>
      </c>
      <c r="E2663" s="227">
        <v>42552</v>
      </c>
      <c r="F2663" s="156">
        <v>360240.21</v>
      </c>
      <c r="G2663" s="131">
        <f t="shared" si="175"/>
        <v>64555.045632000001</v>
      </c>
      <c r="H2663" s="156">
        <v>278980.84999999998</v>
      </c>
      <c r="I2663" s="156">
        <v>47403.28</v>
      </c>
      <c r="J2663" s="156">
        <v>0</v>
      </c>
      <c r="K2663" s="131">
        <f t="shared" si="176"/>
        <v>326384.13</v>
      </c>
      <c r="L2663" s="134">
        <v>0.1792</v>
      </c>
    </row>
    <row r="2664" spans="3:12">
      <c r="C2664" s="161">
        <f t="shared" si="174"/>
        <v>2016</v>
      </c>
      <c r="D2664" s="35" t="s">
        <v>300</v>
      </c>
      <c r="E2664" s="227">
        <v>42583</v>
      </c>
      <c r="F2664" s="156">
        <v>346198.8</v>
      </c>
      <c r="G2664" s="131">
        <f t="shared" si="175"/>
        <v>62038.824959999998</v>
      </c>
      <c r="H2664" s="156">
        <v>6375.04</v>
      </c>
      <c r="I2664" s="156">
        <v>55179.01</v>
      </c>
      <c r="J2664" s="156">
        <v>0</v>
      </c>
      <c r="K2664" s="131">
        <f t="shared" si="176"/>
        <v>61554.05</v>
      </c>
      <c r="L2664" s="134">
        <v>0.1792</v>
      </c>
    </row>
    <row r="2665" spans="3:12">
      <c r="C2665" s="161">
        <f t="shared" si="174"/>
        <v>2016</v>
      </c>
      <c r="D2665" s="35" t="s">
        <v>300</v>
      </c>
      <c r="E2665" s="227">
        <v>42614</v>
      </c>
      <c r="F2665" s="156">
        <v>343961.46</v>
      </c>
      <c r="G2665" s="131">
        <f t="shared" si="175"/>
        <v>61637.893632000007</v>
      </c>
      <c r="H2665" s="156">
        <v>119031.69</v>
      </c>
      <c r="I2665" s="156">
        <v>22826.89</v>
      </c>
      <c r="J2665" s="156">
        <v>0</v>
      </c>
      <c r="K2665" s="131">
        <f t="shared" si="176"/>
        <v>141858.58000000002</v>
      </c>
      <c r="L2665" s="134">
        <v>0.1792</v>
      </c>
    </row>
    <row r="2666" spans="3:12">
      <c r="C2666" s="161">
        <f t="shared" si="174"/>
        <v>2016</v>
      </c>
      <c r="D2666" s="35" t="s">
        <v>300</v>
      </c>
      <c r="E2666" s="227">
        <v>42644</v>
      </c>
      <c r="F2666" s="156">
        <v>380484.47</v>
      </c>
      <c r="G2666" s="131">
        <f t="shared" si="175"/>
        <v>68182.817023999989</v>
      </c>
      <c r="H2666" s="156">
        <v>39176.620000000003</v>
      </c>
      <c r="I2666" s="156">
        <v>23196.35</v>
      </c>
      <c r="J2666" s="156">
        <v>695.66</v>
      </c>
      <c r="K2666" s="131">
        <f t="shared" si="176"/>
        <v>63068.630000000005</v>
      </c>
      <c r="L2666" s="134">
        <v>0.1792</v>
      </c>
    </row>
    <row r="2667" spans="3:12">
      <c r="C2667" s="161">
        <f t="shared" si="174"/>
        <v>2016</v>
      </c>
      <c r="D2667" s="35" t="s">
        <v>300</v>
      </c>
      <c r="E2667" s="227">
        <v>42675</v>
      </c>
      <c r="F2667" s="156">
        <v>415447.44</v>
      </c>
      <c r="G2667" s="131">
        <f t="shared" si="175"/>
        <v>74448.181247999994</v>
      </c>
      <c r="H2667" s="156">
        <v>33350.870000000003</v>
      </c>
      <c r="I2667" s="156">
        <v>4416.22</v>
      </c>
      <c r="J2667" s="156">
        <v>2037</v>
      </c>
      <c r="K2667" s="131">
        <f t="shared" si="176"/>
        <v>39804.090000000004</v>
      </c>
      <c r="L2667" s="134">
        <v>0.1792</v>
      </c>
    </row>
    <row r="2668" spans="3:12">
      <c r="C2668" s="161">
        <f t="shared" si="174"/>
        <v>2016</v>
      </c>
      <c r="D2668" s="35" t="s">
        <v>300</v>
      </c>
      <c r="E2668" s="227">
        <v>42705</v>
      </c>
      <c r="F2668" s="156">
        <v>377095.92</v>
      </c>
      <c r="G2668" s="131">
        <f t="shared" si="175"/>
        <v>67575.58886399999</v>
      </c>
      <c r="H2668" s="156">
        <v>147778.65</v>
      </c>
      <c r="I2668" s="156">
        <v>119162.68</v>
      </c>
      <c r="J2668" s="156">
        <v>184.2</v>
      </c>
      <c r="K2668" s="131">
        <f t="shared" si="176"/>
        <v>267125.52999999997</v>
      </c>
      <c r="L2668" s="134">
        <v>0.1792</v>
      </c>
    </row>
    <row r="2669" spans="3:12">
      <c r="C2669" s="161">
        <f t="shared" si="174"/>
        <v>2017</v>
      </c>
      <c r="D2669" s="35" t="s">
        <v>300</v>
      </c>
      <c r="E2669" s="227">
        <v>42736</v>
      </c>
      <c r="F2669" s="156">
        <v>402491.69</v>
      </c>
      <c r="G2669" s="131">
        <f t="shared" si="175"/>
        <v>72126.510848000005</v>
      </c>
      <c r="H2669" s="156">
        <v>8057.91</v>
      </c>
      <c r="I2669" s="156">
        <v>6120.69</v>
      </c>
      <c r="J2669" s="156">
        <v>266</v>
      </c>
      <c r="K2669" s="131">
        <f t="shared" si="176"/>
        <v>14444.599999999999</v>
      </c>
      <c r="L2669" s="134">
        <v>0.1792</v>
      </c>
    </row>
    <row r="2670" spans="3:12">
      <c r="C2670" s="161">
        <f t="shared" si="174"/>
        <v>2017</v>
      </c>
      <c r="D2670" s="35" t="s">
        <v>300</v>
      </c>
      <c r="E2670" s="227">
        <v>42767</v>
      </c>
      <c r="F2670" s="156">
        <v>323692.19</v>
      </c>
      <c r="G2670" s="131">
        <f t="shared" si="175"/>
        <v>58005.640447999998</v>
      </c>
      <c r="H2670" s="156">
        <v>1395.27</v>
      </c>
      <c r="I2670" s="156">
        <v>36556.54</v>
      </c>
      <c r="J2670" s="156">
        <v>790</v>
      </c>
      <c r="K2670" s="131">
        <f t="shared" si="176"/>
        <v>38741.81</v>
      </c>
      <c r="L2670" s="134">
        <v>0.1792</v>
      </c>
    </row>
    <row r="2671" spans="3:12">
      <c r="C2671" s="161">
        <f t="shared" si="174"/>
        <v>2017</v>
      </c>
      <c r="D2671" s="35" t="s">
        <v>300</v>
      </c>
      <c r="E2671" s="227">
        <v>42795</v>
      </c>
      <c r="F2671" s="156">
        <v>343334.57</v>
      </c>
      <c r="G2671" s="131">
        <f t="shared" si="175"/>
        <v>61525.554944000003</v>
      </c>
      <c r="H2671" s="156">
        <v>302391.07</v>
      </c>
      <c r="I2671" s="156">
        <v>0</v>
      </c>
      <c r="J2671" s="156">
        <v>1895.25</v>
      </c>
      <c r="K2671" s="131">
        <f t="shared" si="176"/>
        <v>304286.32</v>
      </c>
      <c r="L2671" s="134">
        <v>0.1792</v>
      </c>
    </row>
    <row r="2672" spans="3:12">
      <c r="C2672" s="161">
        <f t="shared" si="174"/>
        <v>2017</v>
      </c>
      <c r="D2672" s="35" t="s">
        <v>300</v>
      </c>
      <c r="E2672" s="227">
        <v>42826</v>
      </c>
      <c r="F2672" s="156">
        <v>336043.23</v>
      </c>
      <c r="G2672" s="131">
        <f t="shared" si="175"/>
        <v>60218.946815999996</v>
      </c>
      <c r="H2672" s="156">
        <v>58708.86</v>
      </c>
      <c r="I2672" s="156">
        <v>0</v>
      </c>
      <c r="J2672" s="156">
        <v>0</v>
      </c>
      <c r="K2672" s="131">
        <f t="shared" si="176"/>
        <v>58708.86</v>
      </c>
      <c r="L2672" s="134">
        <v>0.1792</v>
      </c>
    </row>
    <row r="2673" spans="3:12">
      <c r="C2673" s="161">
        <f t="shared" si="174"/>
        <v>2017</v>
      </c>
      <c r="D2673" s="35" t="s">
        <v>300</v>
      </c>
      <c r="E2673" s="227">
        <v>42856</v>
      </c>
      <c r="F2673" s="156">
        <v>336335.75</v>
      </c>
      <c r="G2673" s="131">
        <f t="shared" si="175"/>
        <v>60271.366399999999</v>
      </c>
      <c r="H2673" s="156">
        <v>272747.81</v>
      </c>
      <c r="I2673" s="156">
        <v>84724.4</v>
      </c>
      <c r="J2673" s="156">
        <v>0</v>
      </c>
      <c r="K2673" s="131">
        <f t="shared" si="176"/>
        <v>357472.20999999996</v>
      </c>
      <c r="L2673" s="134">
        <v>0.1792</v>
      </c>
    </row>
    <row r="2674" spans="3:12">
      <c r="C2674" s="161">
        <f t="shared" si="174"/>
        <v>2017</v>
      </c>
      <c r="D2674" s="35" t="s">
        <v>300</v>
      </c>
      <c r="E2674" s="227">
        <v>42887</v>
      </c>
      <c r="F2674" s="156">
        <v>326874.11</v>
      </c>
      <c r="G2674" s="131">
        <f t="shared" si="175"/>
        <v>58575.840511999995</v>
      </c>
      <c r="H2674" s="156">
        <v>1419.31</v>
      </c>
      <c r="I2674" s="156">
        <v>84921.99</v>
      </c>
      <c r="J2674" s="156">
        <v>0</v>
      </c>
      <c r="K2674" s="131">
        <f t="shared" si="176"/>
        <v>86341.3</v>
      </c>
      <c r="L2674" s="134">
        <v>0.1792</v>
      </c>
    </row>
    <row r="2675" spans="3:12">
      <c r="C2675" s="161">
        <f t="shared" si="174"/>
        <v>2017</v>
      </c>
      <c r="D2675" s="35" t="s">
        <v>300</v>
      </c>
      <c r="E2675" s="227">
        <v>42917</v>
      </c>
      <c r="F2675" s="156">
        <v>328733.78000000003</v>
      </c>
      <c r="G2675" s="131">
        <f t="shared" si="175"/>
        <v>58909.093376000004</v>
      </c>
      <c r="H2675" s="156">
        <v>881491.04</v>
      </c>
      <c r="I2675" s="156">
        <v>0</v>
      </c>
      <c r="J2675" s="156">
        <v>0</v>
      </c>
      <c r="K2675" s="131">
        <f t="shared" si="176"/>
        <v>881491.04</v>
      </c>
      <c r="L2675" s="134">
        <v>0.1792</v>
      </c>
    </row>
    <row r="2676" spans="3:12">
      <c r="C2676" s="161">
        <f t="shared" si="174"/>
        <v>2017</v>
      </c>
      <c r="D2676" s="35" t="s">
        <v>300</v>
      </c>
      <c r="E2676" s="227">
        <v>42948</v>
      </c>
      <c r="F2676" s="156">
        <v>330599.11</v>
      </c>
      <c r="G2676" s="131">
        <f t="shared" si="175"/>
        <v>59243.360511999999</v>
      </c>
      <c r="H2676" s="156">
        <v>901.19</v>
      </c>
      <c r="I2676" s="156">
        <v>251798.52</v>
      </c>
      <c r="J2676" s="156">
        <v>0</v>
      </c>
      <c r="K2676" s="131">
        <f t="shared" si="176"/>
        <v>252699.71</v>
      </c>
      <c r="L2676" s="134">
        <v>0.1792</v>
      </c>
    </row>
    <row r="2677" spans="3:12">
      <c r="C2677" s="161">
        <f t="shared" si="174"/>
        <v>2017</v>
      </c>
      <c r="D2677" s="35" t="s">
        <v>300</v>
      </c>
      <c r="E2677" s="227">
        <v>42979</v>
      </c>
      <c r="F2677" s="156">
        <v>378978.3</v>
      </c>
      <c r="G2677" s="131">
        <f t="shared" si="175"/>
        <v>67912.911359999998</v>
      </c>
      <c r="H2677" s="156">
        <v>8650.42</v>
      </c>
      <c r="I2677" s="156">
        <v>861.27</v>
      </c>
      <c r="J2677" s="156">
        <v>0</v>
      </c>
      <c r="K2677" s="131">
        <f t="shared" si="176"/>
        <v>9511.69</v>
      </c>
      <c r="L2677" s="134">
        <v>0.1792</v>
      </c>
    </row>
    <row r="2678" spans="3:12">
      <c r="C2678" s="161">
        <f t="shared" si="174"/>
        <v>2017</v>
      </c>
      <c r="D2678" s="35" t="s">
        <v>300</v>
      </c>
      <c r="E2678" s="227">
        <v>43009</v>
      </c>
      <c r="F2678" s="156">
        <v>353378.42</v>
      </c>
      <c r="G2678" s="131">
        <f t="shared" si="175"/>
        <v>63325.412863999998</v>
      </c>
      <c r="H2678" s="156">
        <v>0</v>
      </c>
      <c r="I2678" s="156">
        <v>0</v>
      </c>
      <c r="J2678" s="156">
        <v>0</v>
      </c>
      <c r="K2678" s="131">
        <f t="shared" si="176"/>
        <v>0</v>
      </c>
      <c r="L2678" s="134">
        <v>0.1792</v>
      </c>
    </row>
    <row r="2679" spans="3:12">
      <c r="C2679" s="161">
        <f t="shared" si="174"/>
        <v>2017</v>
      </c>
      <c r="D2679" s="35" t="s">
        <v>300</v>
      </c>
      <c r="E2679" s="227">
        <v>43040</v>
      </c>
      <c r="F2679" s="156">
        <v>366828</v>
      </c>
      <c r="G2679" s="131">
        <f t="shared" si="175"/>
        <v>65735.577600000004</v>
      </c>
      <c r="H2679" s="156">
        <v>0</v>
      </c>
      <c r="I2679" s="156">
        <v>0</v>
      </c>
      <c r="J2679" s="156">
        <v>138500</v>
      </c>
      <c r="K2679" s="131">
        <f t="shared" si="176"/>
        <v>138500</v>
      </c>
      <c r="L2679" s="134">
        <v>0.1792</v>
      </c>
    </row>
    <row r="2680" spans="3:12">
      <c r="C2680" s="161">
        <f t="shared" si="174"/>
        <v>2017</v>
      </c>
      <c r="D2680" s="35" t="s">
        <v>300</v>
      </c>
      <c r="E2680" s="227">
        <v>43070</v>
      </c>
      <c r="F2680" s="156">
        <v>345372.19</v>
      </c>
      <c r="G2680" s="131">
        <f t="shared" si="175"/>
        <v>61890.696448000002</v>
      </c>
      <c r="H2680" s="156">
        <v>3324.28</v>
      </c>
      <c r="I2680" s="156">
        <v>0</v>
      </c>
      <c r="J2680" s="156">
        <v>16000</v>
      </c>
      <c r="K2680" s="131">
        <f t="shared" si="176"/>
        <v>19324.28</v>
      </c>
      <c r="L2680" s="134">
        <v>0.1792</v>
      </c>
    </row>
    <row r="2681" spans="3:12">
      <c r="C2681" s="161">
        <f t="shared" si="174"/>
        <v>2018</v>
      </c>
      <c r="D2681" s="35" t="s">
        <v>300</v>
      </c>
      <c r="E2681" s="227">
        <v>43101</v>
      </c>
      <c r="F2681" s="156">
        <v>370723.66</v>
      </c>
      <c r="G2681" s="131">
        <f t="shared" si="175"/>
        <v>66433.679871999993</v>
      </c>
      <c r="H2681" s="156">
        <v>1319.89</v>
      </c>
      <c r="I2681" s="156">
        <v>0</v>
      </c>
      <c r="J2681" s="156">
        <v>0</v>
      </c>
      <c r="K2681" s="131">
        <f t="shared" si="176"/>
        <v>1319.89</v>
      </c>
      <c r="L2681" s="134">
        <v>0.1792</v>
      </c>
    </row>
    <row r="2682" spans="3:12">
      <c r="C2682" s="161">
        <f t="shared" si="174"/>
        <v>2018</v>
      </c>
      <c r="D2682" s="35" t="s">
        <v>300</v>
      </c>
      <c r="E2682" s="227">
        <v>43132</v>
      </c>
      <c r="F2682" s="156">
        <v>363528.59</v>
      </c>
      <c r="G2682" s="131">
        <f t="shared" si="175"/>
        <v>65144.323328000006</v>
      </c>
      <c r="H2682" s="156">
        <v>1222.94</v>
      </c>
      <c r="I2682" s="156">
        <v>0</v>
      </c>
      <c r="J2682" s="156">
        <v>0</v>
      </c>
      <c r="K2682" s="131">
        <f t="shared" si="176"/>
        <v>1222.94</v>
      </c>
      <c r="L2682" s="134">
        <v>0.1792</v>
      </c>
    </row>
    <row r="2683" spans="3:12">
      <c r="C2683" s="161">
        <f t="shared" si="174"/>
        <v>2018</v>
      </c>
      <c r="D2683" s="35" t="s">
        <v>300</v>
      </c>
      <c r="E2683" s="227">
        <v>43160</v>
      </c>
      <c r="F2683" s="156">
        <v>342083.97</v>
      </c>
      <c r="G2683" s="131">
        <f t="shared" si="175"/>
        <v>61301.447423999991</v>
      </c>
      <c r="H2683" s="156">
        <v>1407.66</v>
      </c>
      <c r="I2683" s="156">
        <v>0</v>
      </c>
      <c r="J2683" s="156">
        <v>2949</v>
      </c>
      <c r="K2683" s="131">
        <f t="shared" si="176"/>
        <v>4356.66</v>
      </c>
      <c r="L2683" s="134">
        <v>0.1792</v>
      </c>
    </row>
    <row r="2684" spans="3:12">
      <c r="C2684" s="161">
        <f t="shared" si="174"/>
        <v>2018</v>
      </c>
      <c r="D2684" s="35" t="s">
        <v>300</v>
      </c>
      <c r="E2684" s="227">
        <v>43191</v>
      </c>
      <c r="F2684" s="156">
        <v>356824.49</v>
      </c>
      <c r="G2684" s="131">
        <f t="shared" si="175"/>
        <v>63942.948607999999</v>
      </c>
      <c r="H2684" s="156">
        <v>13310.86</v>
      </c>
      <c r="I2684" s="156">
        <v>0</v>
      </c>
      <c r="J2684" s="156">
        <v>0</v>
      </c>
      <c r="K2684" s="131">
        <f t="shared" si="176"/>
        <v>13310.86</v>
      </c>
      <c r="L2684" s="134">
        <v>0.1792</v>
      </c>
    </row>
    <row r="2685" spans="3:12">
      <c r="C2685" s="161">
        <f t="shared" si="174"/>
        <v>2018</v>
      </c>
      <c r="D2685" s="35" t="s">
        <v>300</v>
      </c>
      <c r="E2685" s="227">
        <v>43221</v>
      </c>
      <c r="F2685" s="156">
        <v>370067.74</v>
      </c>
      <c r="G2685" s="131">
        <f t="shared" si="175"/>
        <v>66316.139007999998</v>
      </c>
      <c r="H2685" s="156">
        <v>0</v>
      </c>
      <c r="I2685" s="156">
        <v>0</v>
      </c>
      <c r="J2685" s="156">
        <v>0</v>
      </c>
      <c r="K2685" s="131">
        <f t="shared" si="176"/>
        <v>0</v>
      </c>
      <c r="L2685" s="134">
        <v>0.1792</v>
      </c>
    </row>
    <row r="2686" spans="3:12">
      <c r="C2686" s="161">
        <f t="shared" si="174"/>
        <v>2018</v>
      </c>
      <c r="D2686" s="35" t="s">
        <v>300</v>
      </c>
      <c r="E2686" s="227">
        <v>43252</v>
      </c>
      <c r="F2686" s="156">
        <v>345012.81</v>
      </c>
      <c r="G2686" s="131">
        <f t="shared" si="175"/>
        <v>61826.295551999996</v>
      </c>
      <c r="H2686" s="156">
        <v>924.66</v>
      </c>
      <c r="I2686" s="156">
        <v>0</v>
      </c>
      <c r="J2686" s="156">
        <v>0</v>
      </c>
      <c r="K2686" s="131">
        <f t="shared" si="176"/>
        <v>924.66</v>
      </c>
      <c r="L2686" s="134">
        <v>0.1792</v>
      </c>
    </row>
    <row r="2687" spans="3:12">
      <c r="C2687" s="161">
        <f t="shared" si="174"/>
        <v>2018</v>
      </c>
      <c r="D2687" s="35" t="s">
        <v>300</v>
      </c>
      <c r="E2687" s="227">
        <v>43282</v>
      </c>
      <c r="F2687" s="156">
        <v>332092.34000000003</v>
      </c>
      <c r="G2687" s="131">
        <f t="shared" si="175"/>
        <v>59510.947328000002</v>
      </c>
      <c r="H2687" s="156">
        <v>1502.67</v>
      </c>
      <c r="I2687" s="156">
        <v>0</v>
      </c>
      <c r="J2687" s="156">
        <v>1200</v>
      </c>
      <c r="K2687" s="131">
        <f t="shared" si="176"/>
        <v>2702.67</v>
      </c>
      <c r="L2687" s="134">
        <v>0.1792</v>
      </c>
    </row>
    <row r="2688" spans="3:12">
      <c r="C2688" s="161">
        <f t="shared" si="174"/>
        <v>2018</v>
      </c>
      <c r="D2688" s="35" t="s">
        <v>300</v>
      </c>
      <c r="E2688" s="227">
        <v>43313</v>
      </c>
      <c r="F2688" s="156">
        <v>350867.69</v>
      </c>
      <c r="G2688" s="131">
        <f t="shared" si="175"/>
        <v>62875.490048</v>
      </c>
      <c r="H2688" s="156">
        <v>687.72</v>
      </c>
      <c r="I2688" s="156">
        <v>0</v>
      </c>
      <c r="J2688" s="156">
        <v>0</v>
      </c>
      <c r="K2688" s="131">
        <f t="shared" si="176"/>
        <v>687.72</v>
      </c>
      <c r="L2688" s="134">
        <v>0.1792</v>
      </c>
    </row>
    <row r="2689" spans="3:12">
      <c r="C2689" s="161">
        <f t="shared" si="174"/>
        <v>2018</v>
      </c>
      <c r="D2689" s="35" t="s">
        <v>300</v>
      </c>
      <c r="E2689" s="227">
        <v>43344</v>
      </c>
      <c r="F2689" s="156">
        <v>364297.39</v>
      </c>
      <c r="G2689" s="131">
        <f t="shared" si="175"/>
        <v>65282.092288</v>
      </c>
      <c r="H2689" s="156">
        <v>41046.6</v>
      </c>
      <c r="I2689" s="156">
        <v>0</v>
      </c>
      <c r="J2689" s="156">
        <v>0</v>
      </c>
      <c r="K2689" s="131">
        <f t="shared" si="176"/>
        <v>41046.6</v>
      </c>
      <c r="L2689" s="134">
        <v>0.1792</v>
      </c>
    </row>
    <row r="2690" spans="3:12">
      <c r="C2690" s="161">
        <f t="shared" si="174"/>
        <v>2018</v>
      </c>
      <c r="D2690" s="35" t="s">
        <v>300</v>
      </c>
      <c r="E2690" s="227">
        <v>43374</v>
      </c>
      <c r="F2690" s="156">
        <v>425516.41</v>
      </c>
      <c r="G2690" s="131">
        <f t="shared" si="175"/>
        <v>76252.540671999988</v>
      </c>
      <c r="H2690" s="156">
        <v>2032.83</v>
      </c>
      <c r="I2690" s="156">
        <v>0</v>
      </c>
      <c r="J2690" s="156">
        <v>0</v>
      </c>
      <c r="K2690" s="131">
        <f t="shared" si="176"/>
        <v>2032.83</v>
      </c>
      <c r="L2690" s="134">
        <v>0.1792</v>
      </c>
    </row>
    <row r="2691" spans="3:12">
      <c r="C2691" s="161">
        <f t="shared" si="174"/>
        <v>2018</v>
      </c>
      <c r="D2691" s="35" t="s">
        <v>300</v>
      </c>
      <c r="E2691" s="227">
        <v>43405</v>
      </c>
      <c r="F2691" s="156">
        <v>394803.79125000001</v>
      </c>
      <c r="G2691" s="131">
        <f t="shared" si="175"/>
        <v>70748.839391999994</v>
      </c>
      <c r="H2691" s="156">
        <v>580.71</v>
      </c>
      <c r="I2691" s="156">
        <v>66629.06</v>
      </c>
      <c r="J2691" s="156">
        <v>43222.5</v>
      </c>
      <c r="K2691" s="131">
        <f t="shared" si="176"/>
        <v>110432.27</v>
      </c>
      <c r="L2691" s="134">
        <v>0.1792</v>
      </c>
    </row>
    <row r="2692" spans="3:12">
      <c r="C2692" s="161">
        <f t="shared" ref="C2692:C2755" si="177">YEAR(E2692)</f>
        <v>2018</v>
      </c>
      <c r="D2692" s="35" t="s">
        <v>300</v>
      </c>
      <c r="E2692" s="227">
        <v>43435</v>
      </c>
      <c r="F2692" s="156">
        <v>398741.66</v>
      </c>
      <c r="G2692" s="131">
        <f t="shared" ref="G2692:G2755" si="178">F2692*L2692</f>
        <v>71454.50547199999</v>
      </c>
      <c r="H2692" s="156">
        <v>7765.18</v>
      </c>
      <c r="I2692" s="156">
        <v>0</v>
      </c>
      <c r="J2692" s="156">
        <v>0</v>
      </c>
      <c r="K2692" s="131">
        <f t="shared" ref="K2692:K2755" si="179">SUM(H2692:J2692)</f>
        <v>7765.18</v>
      </c>
      <c r="L2692" s="134">
        <v>0.1792</v>
      </c>
    </row>
    <row r="2693" spans="3:12">
      <c r="C2693" s="161">
        <f t="shared" si="177"/>
        <v>2019</v>
      </c>
      <c r="D2693" s="35" t="s">
        <v>300</v>
      </c>
      <c r="E2693" s="227">
        <v>43466</v>
      </c>
      <c r="F2693" s="156">
        <v>401068.87</v>
      </c>
      <c r="G2693" s="131">
        <f t="shared" si="178"/>
        <v>71871.541503999993</v>
      </c>
      <c r="H2693" s="156">
        <v>2946.6</v>
      </c>
      <c r="I2693" s="156">
        <v>0</v>
      </c>
      <c r="J2693" s="156">
        <v>0</v>
      </c>
      <c r="K2693" s="131">
        <f t="shared" si="179"/>
        <v>2946.6</v>
      </c>
      <c r="L2693" s="134">
        <v>0.1792</v>
      </c>
    </row>
    <row r="2694" spans="3:12">
      <c r="C2694" s="161">
        <f t="shared" si="177"/>
        <v>2019</v>
      </c>
      <c r="D2694" s="35" t="s">
        <v>300</v>
      </c>
      <c r="E2694" s="227">
        <v>43497</v>
      </c>
      <c r="F2694" s="156">
        <v>411538.72</v>
      </c>
      <c r="G2694" s="131">
        <f t="shared" si="178"/>
        <v>73747.738623999991</v>
      </c>
      <c r="H2694" s="156">
        <v>559.03</v>
      </c>
      <c r="I2694" s="156">
        <v>94655.73</v>
      </c>
      <c r="J2694" s="156">
        <v>0</v>
      </c>
      <c r="K2694" s="131">
        <f t="shared" si="179"/>
        <v>95214.76</v>
      </c>
      <c r="L2694" s="134">
        <v>0.1792</v>
      </c>
    </row>
    <row r="2695" spans="3:12">
      <c r="C2695" s="161">
        <f t="shared" si="177"/>
        <v>2019</v>
      </c>
      <c r="D2695" s="35" t="s">
        <v>300</v>
      </c>
      <c r="E2695" s="227">
        <v>43525</v>
      </c>
      <c r="F2695" s="156">
        <v>350824.21</v>
      </c>
      <c r="G2695" s="131">
        <f t="shared" si="178"/>
        <v>62867.698432000005</v>
      </c>
      <c r="H2695" s="156">
        <v>1528.83</v>
      </c>
      <c r="I2695" s="156">
        <v>0</v>
      </c>
      <c r="J2695" s="156">
        <v>0</v>
      </c>
      <c r="K2695" s="131">
        <f t="shared" si="179"/>
        <v>1528.83</v>
      </c>
      <c r="L2695" s="134">
        <v>0.1792</v>
      </c>
    </row>
    <row r="2696" spans="3:12">
      <c r="C2696" s="161">
        <f t="shared" si="177"/>
        <v>2019</v>
      </c>
      <c r="D2696" s="35" t="s">
        <v>300</v>
      </c>
      <c r="E2696" s="227">
        <v>43556</v>
      </c>
      <c r="F2696" s="156">
        <v>377138.96</v>
      </c>
      <c r="G2696" s="131">
        <f t="shared" si="178"/>
        <v>67583.301632000002</v>
      </c>
      <c r="H2696" s="156">
        <v>2061.02</v>
      </c>
      <c r="I2696" s="156">
        <v>572164</v>
      </c>
      <c r="J2696" s="156">
        <v>0</v>
      </c>
      <c r="K2696" s="131">
        <f t="shared" si="179"/>
        <v>574225.02</v>
      </c>
      <c r="L2696" s="134">
        <v>0.1792</v>
      </c>
    </row>
    <row r="2697" spans="3:12">
      <c r="C2697" s="161">
        <f t="shared" si="177"/>
        <v>2019</v>
      </c>
      <c r="D2697" s="35" t="s">
        <v>300</v>
      </c>
      <c r="E2697" s="227">
        <v>43586</v>
      </c>
      <c r="F2697" s="156">
        <v>365443.36</v>
      </c>
      <c r="G2697" s="131">
        <f t="shared" si="178"/>
        <v>65487.450111999999</v>
      </c>
      <c r="H2697" s="156">
        <v>2530.9299999999998</v>
      </c>
      <c r="I2697" s="156">
        <v>273470.36</v>
      </c>
      <c r="J2697" s="156">
        <v>0</v>
      </c>
      <c r="K2697" s="131">
        <f t="shared" si="179"/>
        <v>276001.28999999998</v>
      </c>
      <c r="L2697" s="134">
        <v>0.1792</v>
      </c>
    </row>
    <row r="2698" spans="3:12">
      <c r="C2698" s="161">
        <f t="shared" si="177"/>
        <v>2019</v>
      </c>
      <c r="D2698" s="35" t="s">
        <v>300</v>
      </c>
      <c r="E2698" s="227">
        <v>43617</v>
      </c>
      <c r="F2698" s="156">
        <v>368086.92</v>
      </c>
      <c r="G2698" s="131">
        <f t="shared" si="178"/>
        <v>65961.176063999999</v>
      </c>
      <c r="H2698" s="156">
        <v>0</v>
      </c>
      <c r="I2698" s="156">
        <v>0</v>
      </c>
      <c r="J2698" s="156">
        <v>0</v>
      </c>
      <c r="K2698" s="131">
        <f t="shared" si="179"/>
        <v>0</v>
      </c>
      <c r="L2698" s="134">
        <v>0.1792</v>
      </c>
    </row>
    <row r="2699" spans="3:12">
      <c r="C2699" s="161">
        <f t="shared" si="177"/>
        <v>2019</v>
      </c>
      <c r="D2699" s="35" t="s">
        <v>300</v>
      </c>
      <c r="E2699" s="227">
        <v>43647</v>
      </c>
      <c r="F2699" s="156">
        <v>337260.9</v>
      </c>
      <c r="G2699" s="131">
        <f t="shared" si="178"/>
        <v>60437.153280000006</v>
      </c>
      <c r="H2699" s="156">
        <v>26407.18</v>
      </c>
      <c r="I2699" s="156">
        <v>211147.29</v>
      </c>
      <c r="J2699" s="156">
        <v>0</v>
      </c>
      <c r="K2699" s="131">
        <f t="shared" si="179"/>
        <v>237554.47</v>
      </c>
      <c r="L2699" s="134">
        <v>0.1792</v>
      </c>
    </row>
    <row r="2700" spans="3:12">
      <c r="C2700" s="161">
        <f t="shared" si="177"/>
        <v>2019</v>
      </c>
      <c r="D2700" s="35" t="s">
        <v>300</v>
      </c>
      <c r="E2700" s="227">
        <v>43678</v>
      </c>
      <c r="F2700" s="156">
        <v>392349.53</v>
      </c>
      <c r="G2700" s="131">
        <f t="shared" si="178"/>
        <v>70309.035776000004</v>
      </c>
      <c r="H2700" s="156">
        <v>1819.15</v>
      </c>
      <c r="I2700" s="156">
        <v>205351.55</v>
      </c>
      <c r="J2700" s="156">
        <v>0</v>
      </c>
      <c r="K2700" s="131">
        <f t="shared" si="179"/>
        <v>207170.69999999998</v>
      </c>
      <c r="L2700" s="134">
        <v>0.1792</v>
      </c>
    </row>
    <row r="2701" spans="3:12">
      <c r="C2701" s="161">
        <f t="shared" si="177"/>
        <v>2019</v>
      </c>
      <c r="D2701" s="35" t="s">
        <v>300</v>
      </c>
      <c r="E2701" s="227">
        <v>43709</v>
      </c>
      <c r="F2701" s="156">
        <v>442645.97</v>
      </c>
      <c r="G2701" s="131">
        <f t="shared" si="178"/>
        <v>79322.157823999994</v>
      </c>
      <c r="H2701" s="156">
        <v>12400.9</v>
      </c>
      <c r="I2701" s="156">
        <v>243841.32</v>
      </c>
      <c r="J2701" s="156">
        <v>11840.26</v>
      </c>
      <c r="K2701" s="131">
        <f t="shared" si="179"/>
        <v>268082.48</v>
      </c>
      <c r="L2701" s="134">
        <v>0.1792</v>
      </c>
    </row>
    <row r="2702" spans="3:12">
      <c r="C2702" s="161">
        <f t="shared" si="177"/>
        <v>2019</v>
      </c>
      <c r="D2702" s="35" t="s">
        <v>300</v>
      </c>
      <c r="E2702" s="227">
        <v>43739</v>
      </c>
      <c r="F2702" s="156">
        <v>412285.39</v>
      </c>
      <c r="G2702" s="131">
        <f t="shared" si="178"/>
        <v>73881.541888000007</v>
      </c>
      <c r="H2702" s="156">
        <v>1009.03</v>
      </c>
      <c r="I2702" s="156">
        <v>134230.88</v>
      </c>
      <c r="J2702" s="156">
        <v>445.35</v>
      </c>
      <c r="K2702" s="131">
        <f t="shared" si="179"/>
        <v>135685.26</v>
      </c>
      <c r="L2702" s="134">
        <v>0.1792</v>
      </c>
    </row>
    <row r="2703" spans="3:12">
      <c r="C2703" s="161">
        <f t="shared" si="177"/>
        <v>2019</v>
      </c>
      <c r="D2703" s="35" t="s">
        <v>300</v>
      </c>
      <c r="E2703" s="227">
        <v>43770</v>
      </c>
      <c r="F2703" s="156">
        <v>471232.59</v>
      </c>
      <c r="G2703" s="131">
        <f t="shared" si="178"/>
        <v>84444.880128000004</v>
      </c>
      <c r="H2703" s="156">
        <v>902.89</v>
      </c>
      <c r="I2703" s="156">
        <v>213639.38</v>
      </c>
      <c r="J2703" s="156">
        <v>2508.33</v>
      </c>
      <c r="K2703" s="131">
        <f t="shared" si="179"/>
        <v>217050.6</v>
      </c>
      <c r="L2703" s="134">
        <v>0.1792</v>
      </c>
    </row>
    <row r="2704" spans="3:12">
      <c r="C2704" s="161">
        <f t="shared" si="177"/>
        <v>2019</v>
      </c>
      <c r="D2704" s="35" t="s">
        <v>300</v>
      </c>
      <c r="E2704" s="227">
        <v>43800</v>
      </c>
      <c r="F2704" s="156">
        <v>420090.33</v>
      </c>
      <c r="G2704" s="131">
        <f t="shared" si="178"/>
        <v>75280.187136000008</v>
      </c>
      <c r="H2704" s="156">
        <v>3600.08</v>
      </c>
      <c r="I2704" s="156">
        <v>85953.52</v>
      </c>
      <c r="J2704" s="156">
        <v>0</v>
      </c>
      <c r="K2704" s="131">
        <f t="shared" si="179"/>
        <v>89553.600000000006</v>
      </c>
      <c r="L2704" s="134">
        <v>0.1792</v>
      </c>
    </row>
    <row r="2705" spans="3:12">
      <c r="C2705" s="161">
        <f t="shared" si="177"/>
        <v>2020</v>
      </c>
      <c r="D2705" s="35" t="s">
        <v>300</v>
      </c>
      <c r="E2705" s="227">
        <v>43831</v>
      </c>
      <c r="F2705" s="156">
        <v>392653.55</v>
      </c>
      <c r="G2705" s="131">
        <f t="shared" si="178"/>
        <v>70363.516159999999</v>
      </c>
      <c r="H2705" s="156">
        <v>0</v>
      </c>
      <c r="I2705" s="156">
        <v>88962.63</v>
      </c>
      <c r="J2705" s="156">
        <v>0</v>
      </c>
      <c r="K2705" s="131">
        <f t="shared" si="179"/>
        <v>88962.63</v>
      </c>
      <c r="L2705" s="134">
        <v>0.1792</v>
      </c>
    </row>
    <row r="2706" spans="3:12">
      <c r="C2706" s="161">
        <f t="shared" si="177"/>
        <v>2020</v>
      </c>
      <c r="D2706" s="35" t="s">
        <v>300</v>
      </c>
      <c r="E2706" s="227">
        <v>43862</v>
      </c>
      <c r="F2706" s="156">
        <v>415272.22</v>
      </c>
      <c r="G2706" s="131">
        <f t="shared" si="178"/>
        <v>74416.781823999991</v>
      </c>
      <c r="H2706" s="156">
        <v>746.35</v>
      </c>
      <c r="I2706" s="156">
        <v>0</v>
      </c>
      <c r="J2706" s="156">
        <v>0</v>
      </c>
      <c r="K2706" s="131">
        <f t="shared" si="179"/>
        <v>746.35</v>
      </c>
      <c r="L2706" s="134">
        <v>0.1792</v>
      </c>
    </row>
    <row r="2707" spans="3:12">
      <c r="C2707" s="161">
        <f t="shared" si="177"/>
        <v>2020</v>
      </c>
      <c r="D2707" s="35" t="s">
        <v>300</v>
      </c>
      <c r="E2707" s="227">
        <v>43891</v>
      </c>
      <c r="F2707" s="156">
        <v>391148.13622500002</v>
      </c>
      <c r="G2707" s="131">
        <f t="shared" si="178"/>
        <v>70093.746011520008</v>
      </c>
      <c r="H2707" s="156">
        <v>0</v>
      </c>
      <c r="I2707" s="156">
        <v>805.22</v>
      </c>
      <c r="J2707" s="156">
        <v>0</v>
      </c>
      <c r="K2707" s="131">
        <f t="shared" si="179"/>
        <v>805.22</v>
      </c>
      <c r="L2707" s="134">
        <v>0.1792</v>
      </c>
    </row>
    <row r="2708" spans="3:12">
      <c r="C2708" s="161">
        <f t="shared" si="177"/>
        <v>2020</v>
      </c>
      <c r="D2708" s="35" t="s">
        <v>300</v>
      </c>
      <c r="E2708" s="227">
        <v>43922</v>
      </c>
      <c r="F2708" s="156">
        <v>426786.94987499999</v>
      </c>
      <c r="G2708" s="131">
        <f t="shared" si="178"/>
        <v>76480.221417599998</v>
      </c>
      <c r="H2708" s="156">
        <v>222376.01</v>
      </c>
      <c r="I2708" s="156">
        <v>16664.53</v>
      </c>
      <c r="J2708" s="156">
        <v>0</v>
      </c>
      <c r="K2708" s="131">
        <f t="shared" si="179"/>
        <v>239040.54</v>
      </c>
      <c r="L2708" s="134">
        <v>0.1792</v>
      </c>
    </row>
    <row r="2709" spans="3:12">
      <c r="C2709" s="161">
        <f t="shared" si="177"/>
        <v>2020</v>
      </c>
      <c r="D2709" s="35" t="s">
        <v>300</v>
      </c>
      <c r="E2709" s="227">
        <v>43952</v>
      </c>
      <c r="F2709" s="156">
        <v>389334.03</v>
      </c>
      <c r="G2709" s="131">
        <f t="shared" si="178"/>
        <v>69768.658175999997</v>
      </c>
      <c r="H2709" s="156">
        <v>3468.87</v>
      </c>
      <c r="I2709" s="156">
        <v>6152.64</v>
      </c>
      <c r="J2709" s="156">
        <v>0</v>
      </c>
      <c r="K2709" s="131">
        <f t="shared" si="179"/>
        <v>9621.51</v>
      </c>
      <c r="L2709" s="134">
        <v>0.1792</v>
      </c>
    </row>
    <row r="2710" spans="3:12">
      <c r="C2710" s="161">
        <f t="shared" si="177"/>
        <v>2020</v>
      </c>
      <c r="D2710" s="35" t="s">
        <v>300</v>
      </c>
      <c r="E2710" s="227">
        <v>43983</v>
      </c>
      <c r="F2710" s="156">
        <v>362411.4</v>
      </c>
      <c r="G2710" s="131">
        <f t="shared" si="178"/>
        <v>64944.122880000003</v>
      </c>
      <c r="H2710" s="156">
        <v>15531.92</v>
      </c>
      <c r="I2710" s="156">
        <v>2692.54</v>
      </c>
      <c r="J2710" s="156">
        <v>0</v>
      </c>
      <c r="K2710" s="131">
        <f t="shared" si="179"/>
        <v>18224.46</v>
      </c>
      <c r="L2710" s="134">
        <v>0.1792</v>
      </c>
    </row>
    <row r="2711" spans="3:12">
      <c r="C2711" s="161">
        <f t="shared" si="177"/>
        <v>2020</v>
      </c>
      <c r="D2711" s="35" t="s">
        <v>300</v>
      </c>
      <c r="E2711" s="227">
        <v>44013</v>
      </c>
      <c r="F2711" s="156">
        <v>375039.77</v>
      </c>
      <c r="G2711" s="131">
        <f t="shared" si="178"/>
        <v>67207.126784000007</v>
      </c>
      <c r="H2711" s="156">
        <v>3206.9</v>
      </c>
      <c r="I2711" s="156">
        <v>2294.86</v>
      </c>
      <c r="J2711" s="156">
        <v>0</v>
      </c>
      <c r="K2711" s="131">
        <f t="shared" si="179"/>
        <v>5501.76</v>
      </c>
      <c r="L2711" s="134">
        <v>0.1792</v>
      </c>
    </row>
    <row r="2712" spans="3:12">
      <c r="C2712" s="161">
        <f t="shared" si="177"/>
        <v>2020</v>
      </c>
      <c r="D2712" s="35" t="s">
        <v>300</v>
      </c>
      <c r="E2712" s="227">
        <v>44044</v>
      </c>
      <c r="F2712" s="156">
        <v>411112.66</v>
      </c>
      <c r="G2712" s="131">
        <f t="shared" si="178"/>
        <v>73671.388672000001</v>
      </c>
      <c r="H2712" s="156">
        <v>6454.95</v>
      </c>
      <c r="I2712" s="156">
        <v>1508.16</v>
      </c>
      <c r="J2712" s="156">
        <v>0</v>
      </c>
      <c r="K2712" s="131">
        <f t="shared" si="179"/>
        <v>7963.11</v>
      </c>
      <c r="L2712" s="134">
        <v>0.1792</v>
      </c>
    </row>
    <row r="2713" spans="3:12">
      <c r="C2713" s="161">
        <f t="shared" si="177"/>
        <v>2020</v>
      </c>
      <c r="D2713" s="35" t="s">
        <v>300</v>
      </c>
      <c r="E2713" s="227">
        <v>44075</v>
      </c>
      <c r="F2713" s="156">
        <v>419761.41</v>
      </c>
      <c r="G2713" s="131">
        <f t="shared" si="178"/>
        <v>75221.244672000001</v>
      </c>
      <c r="H2713" s="156">
        <v>1814.16</v>
      </c>
      <c r="I2713" s="156">
        <v>1042.6400000000001</v>
      </c>
      <c r="J2713" s="156">
        <v>0</v>
      </c>
      <c r="K2713" s="131">
        <f t="shared" si="179"/>
        <v>2856.8</v>
      </c>
      <c r="L2713" s="134">
        <v>0.1792</v>
      </c>
    </row>
    <row r="2714" spans="3:12">
      <c r="C2714" s="161">
        <f t="shared" si="177"/>
        <v>2020</v>
      </c>
      <c r="D2714" s="35" t="s">
        <v>300</v>
      </c>
      <c r="E2714" s="227">
        <v>44105</v>
      </c>
      <c r="F2714" s="156">
        <v>431053.6</v>
      </c>
      <c r="G2714" s="131">
        <f t="shared" si="178"/>
        <v>77244.80511999999</v>
      </c>
      <c r="H2714" s="156">
        <v>3355.42</v>
      </c>
      <c r="I2714" s="156">
        <v>1432.19</v>
      </c>
      <c r="J2714" s="156">
        <v>5510</v>
      </c>
      <c r="K2714" s="131">
        <f t="shared" si="179"/>
        <v>10297.61</v>
      </c>
      <c r="L2714" s="134">
        <v>0.1792</v>
      </c>
    </row>
    <row r="2715" spans="3:12">
      <c r="C2715" s="161">
        <f t="shared" si="177"/>
        <v>2020</v>
      </c>
      <c r="D2715" s="35" t="s">
        <v>300</v>
      </c>
      <c r="E2715" s="227">
        <v>44136</v>
      </c>
      <c r="F2715" s="156">
        <v>415646.08</v>
      </c>
      <c r="G2715" s="131">
        <f t="shared" si="178"/>
        <v>74483.777536000009</v>
      </c>
      <c r="H2715" s="156">
        <v>0</v>
      </c>
      <c r="I2715" s="156">
        <v>2195.8200000000002</v>
      </c>
      <c r="J2715" s="156">
        <v>0</v>
      </c>
      <c r="K2715" s="131">
        <f t="shared" si="179"/>
        <v>2195.8200000000002</v>
      </c>
      <c r="L2715" s="134">
        <v>0.1792</v>
      </c>
    </row>
    <row r="2716" spans="3:12">
      <c r="C2716" s="161">
        <f t="shared" si="177"/>
        <v>2020</v>
      </c>
      <c r="D2716" s="35" t="s">
        <v>300</v>
      </c>
      <c r="E2716" s="227">
        <v>44166</v>
      </c>
      <c r="F2716" s="156">
        <v>449240.66</v>
      </c>
      <c r="G2716" s="131">
        <f t="shared" si="178"/>
        <v>80503.926271999997</v>
      </c>
      <c r="H2716" s="156">
        <v>5121.04</v>
      </c>
      <c r="I2716" s="156">
        <v>0</v>
      </c>
      <c r="J2716" s="156">
        <v>0</v>
      </c>
      <c r="K2716" s="131">
        <f t="shared" si="179"/>
        <v>5121.04</v>
      </c>
      <c r="L2716" s="134">
        <v>0.1792</v>
      </c>
    </row>
    <row r="2717" spans="3:12">
      <c r="C2717" s="161">
        <f t="shared" si="177"/>
        <v>2021</v>
      </c>
      <c r="D2717" s="35" t="s">
        <v>300</v>
      </c>
      <c r="E2717" s="227">
        <v>44197</v>
      </c>
      <c r="F2717" s="156">
        <v>437457.31</v>
      </c>
      <c r="G2717" s="131">
        <f t="shared" si="178"/>
        <v>78392.349952000004</v>
      </c>
      <c r="H2717" s="156">
        <v>10627.3</v>
      </c>
      <c r="I2717" s="156">
        <v>1409.46</v>
      </c>
      <c r="J2717" s="156">
        <v>0</v>
      </c>
      <c r="K2717" s="131">
        <f t="shared" si="179"/>
        <v>12036.759999999998</v>
      </c>
      <c r="L2717" s="134">
        <v>0.1792</v>
      </c>
    </row>
    <row r="2718" spans="3:12">
      <c r="C2718" s="161">
        <f t="shared" si="177"/>
        <v>2021</v>
      </c>
      <c r="D2718" s="35" t="s">
        <v>300</v>
      </c>
      <c r="E2718" s="227">
        <v>44229</v>
      </c>
      <c r="F2718" s="156">
        <v>409118.88</v>
      </c>
      <c r="G2718" s="131">
        <f t="shared" si="178"/>
        <v>73314.103296000001</v>
      </c>
      <c r="H2718" s="156">
        <v>26120.99</v>
      </c>
      <c r="I2718" s="156">
        <v>1172.6600000000001</v>
      </c>
      <c r="J2718" s="156">
        <v>0</v>
      </c>
      <c r="K2718" s="131">
        <f t="shared" si="179"/>
        <v>27293.65</v>
      </c>
      <c r="L2718" s="134">
        <v>0.1792</v>
      </c>
    </row>
    <row r="2719" spans="3:12">
      <c r="C2719" s="161">
        <f t="shared" si="177"/>
        <v>2021</v>
      </c>
      <c r="D2719" s="35" t="s">
        <v>300</v>
      </c>
      <c r="E2719" s="227">
        <v>44258</v>
      </c>
      <c r="F2719" s="156">
        <v>409343.4</v>
      </c>
      <c r="G2719" s="131">
        <f t="shared" si="178"/>
        <v>73354.337280000007</v>
      </c>
      <c r="H2719" s="156">
        <v>3864.6</v>
      </c>
      <c r="I2719" s="156">
        <v>11185.06</v>
      </c>
      <c r="J2719" s="156">
        <v>0</v>
      </c>
      <c r="K2719" s="131">
        <f t="shared" si="179"/>
        <v>15049.66</v>
      </c>
      <c r="L2719" s="134">
        <v>0.1792</v>
      </c>
    </row>
    <row r="2720" spans="3:12">
      <c r="C2720" s="161">
        <f t="shared" si="177"/>
        <v>2021</v>
      </c>
      <c r="D2720" s="35" t="s">
        <v>300</v>
      </c>
      <c r="E2720" s="227">
        <v>44290</v>
      </c>
      <c r="F2720" s="156">
        <v>432838.24</v>
      </c>
      <c r="G2720" s="131">
        <f t="shared" si="178"/>
        <v>77564.612607999996</v>
      </c>
      <c r="H2720" s="156">
        <v>10831.96</v>
      </c>
      <c r="I2720" s="156">
        <v>1711.96</v>
      </c>
      <c r="J2720" s="156">
        <v>0</v>
      </c>
      <c r="K2720" s="131">
        <f t="shared" si="179"/>
        <v>12543.919999999998</v>
      </c>
      <c r="L2720" s="134">
        <v>0.1792</v>
      </c>
    </row>
    <row r="2721" spans="3:12">
      <c r="C2721" s="161">
        <f t="shared" si="177"/>
        <v>2021</v>
      </c>
      <c r="D2721" s="35" t="s">
        <v>300</v>
      </c>
      <c r="E2721" s="227">
        <v>44321</v>
      </c>
      <c r="F2721" s="156">
        <v>364422.95</v>
      </c>
      <c r="G2721" s="131">
        <f t="shared" si="178"/>
        <v>65304.592640000003</v>
      </c>
      <c r="H2721" s="156">
        <v>8421.11</v>
      </c>
      <c r="I2721" s="156">
        <v>0</v>
      </c>
      <c r="J2721" s="156">
        <v>0</v>
      </c>
      <c r="K2721" s="131">
        <f t="shared" si="179"/>
        <v>8421.11</v>
      </c>
      <c r="L2721" s="134">
        <v>0.1792</v>
      </c>
    </row>
    <row r="2722" spans="3:12">
      <c r="C2722" s="161">
        <f t="shared" si="177"/>
        <v>2021</v>
      </c>
      <c r="D2722" s="35" t="s">
        <v>300</v>
      </c>
      <c r="E2722" s="227">
        <v>44353</v>
      </c>
      <c r="F2722" s="156">
        <v>385620.29</v>
      </c>
      <c r="G2722" s="131">
        <f t="shared" si="178"/>
        <v>69103.155967999992</v>
      </c>
      <c r="H2722" s="156">
        <v>422.69</v>
      </c>
      <c r="I2722" s="156">
        <v>0</v>
      </c>
      <c r="J2722" s="156">
        <v>0</v>
      </c>
      <c r="K2722" s="131">
        <f t="shared" si="179"/>
        <v>422.69</v>
      </c>
      <c r="L2722" s="134">
        <v>0.1792</v>
      </c>
    </row>
    <row r="2723" spans="3:12">
      <c r="C2723" s="161">
        <f t="shared" si="177"/>
        <v>2015</v>
      </c>
      <c r="D2723" s="35" t="s">
        <v>301</v>
      </c>
      <c r="E2723" s="227">
        <v>42309</v>
      </c>
      <c r="F2723" s="156">
        <v>67296.560924999998</v>
      </c>
      <c r="G2723" s="131">
        <f t="shared" si="178"/>
        <v>12059.54371776</v>
      </c>
      <c r="H2723" s="156">
        <v>4842.87</v>
      </c>
      <c r="I2723" s="156">
        <v>0</v>
      </c>
      <c r="J2723" s="156">
        <v>0</v>
      </c>
      <c r="K2723" s="131">
        <f t="shared" si="179"/>
        <v>4842.87</v>
      </c>
      <c r="L2723" s="134">
        <v>0.1792</v>
      </c>
    </row>
    <row r="2724" spans="3:12">
      <c r="C2724" s="161">
        <f t="shared" si="177"/>
        <v>2015</v>
      </c>
      <c r="D2724" s="35" t="s">
        <v>301</v>
      </c>
      <c r="E2724" s="227">
        <v>42339</v>
      </c>
      <c r="F2724" s="156">
        <v>64781.551724999998</v>
      </c>
      <c r="G2724" s="131">
        <f t="shared" si="178"/>
        <v>11608.85406912</v>
      </c>
      <c r="H2724" s="156">
        <v>107.78</v>
      </c>
      <c r="I2724" s="156">
        <v>0</v>
      </c>
      <c r="J2724" s="156">
        <v>0</v>
      </c>
      <c r="K2724" s="131">
        <f t="shared" si="179"/>
        <v>107.78</v>
      </c>
      <c r="L2724" s="134">
        <v>0.1792</v>
      </c>
    </row>
    <row r="2725" spans="3:12">
      <c r="C2725" s="161">
        <f t="shared" si="177"/>
        <v>2016</v>
      </c>
      <c r="D2725" s="35" t="s">
        <v>301</v>
      </c>
      <c r="E2725" s="227">
        <v>42370</v>
      </c>
      <c r="F2725" s="156">
        <v>69779.961899999995</v>
      </c>
      <c r="G2725" s="131">
        <f t="shared" si="178"/>
        <v>12504.569172479998</v>
      </c>
      <c r="H2725" s="156">
        <v>1378.16</v>
      </c>
      <c r="I2725" s="156">
        <v>0</v>
      </c>
      <c r="J2725" s="156">
        <v>0</v>
      </c>
      <c r="K2725" s="131">
        <f t="shared" si="179"/>
        <v>1378.16</v>
      </c>
      <c r="L2725" s="134">
        <v>0.1792</v>
      </c>
    </row>
    <row r="2726" spans="3:12">
      <c r="C2726" s="161">
        <f t="shared" si="177"/>
        <v>2016</v>
      </c>
      <c r="D2726" s="35" t="s">
        <v>301</v>
      </c>
      <c r="E2726" s="227">
        <v>42401</v>
      </c>
      <c r="F2726" s="156">
        <v>67825.179675000007</v>
      </c>
      <c r="G2726" s="131">
        <f t="shared" si="178"/>
        <v>12154.272197760001</v>
      </c>
      <c r="H2726" s="156">
        <v>2293.67</v>
      </c>
      <c r="I2726" s="156">
        <v>0</v>
      </c>
      <c r="J2726" s="156">
        <v>0</v>
      </c>
      <c r="K2726" s="131">
        <f t="shared" si="179"/>
        <v>2293.67</v>
      </c>
      <c r="L2726" s="134">
        <v>0.1792</v>
      </c>
    </row>
    <row r="2727" spans="3:12">
      <c r="C2727" s="161">
        <f t="shared" si="177"/>
        <v>2016</v>
      </c>
      <c r="D2727" s="35" t="s">
        <v>301</v>
      </c>
      <c r="E2727" s="227">
        <v>42430</v>
      </c>
      <c r="F2727" s="156">
        <v>65930.945850000004</v>
      </c>
      <c r="G2727" s="131">
        <f t="shared" si="178"/>
        <v>11814.82549632</v>
      </c>
      <c r="H2727" s="156">
        <v>0</v>
      </c>
      <c r="I2727" s="156">
        <v>0</v>
      </c>
      <c r="J2727" s="156">
        <v>0</v>
      </c>
      <c r="K2727" s="131">
        <f t="shared" si="179"/>
        <v>0</v>
      </c>
      <c r="L2727" s="134">
        <v>0.1792</v>
      </c>
    </row>
    <row r="2728" spans="3:12">
      <c r="C2728" s="161">
        <f t="shared" si="177"/>
        <v>2016</v>
      </c>
      <c r="D2728" s="35" t="s">
        <v>301</v>
      </c>
      <c r="E2728" s="227">
        <v>42461</v>
      </c>
      <c r="F2728" s="156">
        <v>77873.219324999998</v>
      </c>
      <c r="G2728" s="131">
        <f t="shared" si="178"/>
        <v>13954.880903039999</v>
      </c>
      <c r="H2728" s="156">
        <v>3046.21</v>
      </c>
      <c r="I2728" s="156">
        <v>0</v>
      </c>
      <c r="J2728" s="156">
        <v>0</v>
      </c>
      <c r="K2728" s="131">
        <f t="shared" si="179"/>
        <v>3046.21</v>
      </c>
      <c r="L2728" s="134">
        <v>0.1792</v>
      </c>
    </row>
    <row r="2729" spans="3:12">
      <c r="C2729" s="161">
        <f t="shared" si="177"/>
        <v>2016</v>
      </c>
      <c r="D2729" s="35" t="s">
        <v>301</v>
      </c>
      <c r="E2729" s="227">
        <v>42491</v>
      </c>
      <c r="F2729" s="156">
        <v>79592.795700000002</v>
      </c>
      <c r="G2729" s="131">
        <f t="shared" si="178"/>
        <v>14263.028989440001</v>
      </c>
      <c r="H2729" s="156">
        <v>0</v>
      </c>
      <c r="I2729" s="156">
        <v>0</v>
      </c>
      <c r="J2729" s="156">
        <v>0</v>
      </c>
      <c r="K2729" s="131">
        <f t="shared" si="179"/>
        <v>0</v>
      </c>
      <c r="L2729" s="134">
        <v>0.1792</v>
      </c>
    </row>
    <row r="2730" spans="3:12">
      <c r="C2730" s="161">
        <f t="shared" si="177"/>
        <v>2016</v>
      </c>
      <c r="D2730" s="35" t="s">
        <v>301</v>
      </c>
      <c r="E2730" s="227">
        <v>42522</v>
      </c>
      <c r="F2730" s="156">
        <v>69415.083375000002</v>
      </c>
      <c r="G2730" s="131">
        <f t="shared" si="178"/>
        <v>12439.182940799999</v>
      </c>
      <c r="H2730" s="156">
        <v>515.96</v>
      </c>
      <c r="I2730" s="156">
        <v>0</v>
      </c>
      <c r="J2730" s="156">
        <v>52575.23</v>
      </c>
      <c r="K2730" s="131">
        <f t="shared" si="179"/>
        <v>53091.19</v>
      </c>
      <c r="L2730" s="134">
        <v>0.1792</v>
      </c>
    </row>
    <row r="2731" spans="3:12">
      <c r="C2731" s="161">
        <f t="shared" si="177"/>
        <v>2016</v>
      </c>
      <c r="D2731" s="35" t="s">
        <v>301</v>
      </c>
      <c r="E2731" s="227">
        <v>42552</v>
      </c>
      <c r="F2731" s="156">
        <v>82945.400175000002</v>
      </c>
      <c r="G2731" s="131">
        <f t="shared" si="178"/>
        <v>14863.815711360001</v>
      </c>
      <c r="H2731" s="156">
        <v>1741.15</v>
      </c>
      <c r="I2731" s="156">
        <v>0</v>
      </c>
      <c r="J2731" s="156">
        <v>4295.3500000000004</v>
      </c>
      <c r="K2731" s="131">
        <f t="shared" si="179"/>
        <v>6036.5</v>
      </c>
      <c r="L2731" s="134">
        <v>0.1792</v>
      </c>
    </row>
    <row r="2732" spans="3:12">
      <c r="C2732" s="161">
        <f t="shared" si="177"/>
        <v>2016</v>
      </c>
      <c r="D2732" s="35" t="s">
        <v>301</v>
      </c>
      <c r="E2732" s="227">
        <v>42583</v>
      </c>
      <c r="F2732" s="156">
        <v>84365.537849999993</v>
      </c>
      <c r="G2732" s="131">
        <f t="shared" si="178"/>
        <v>15118.304382719998</v>
      </c>
      <c r="H2732" s="156">
        <v>35528.76</v>
      </c>
      <c r="I2732" s="156">
        <v>0</v>
      </c>
      <c r="J2732" s="156">
        <v>0</v>
      </c>
      <c r="K2732" s="131">
        <f t="shared" si="179"/>
        <v>35528.76</v>
      </c>
      <c r="L2732" s="134">
        <v>0.1792</v>
      </c>
    </row>
    <row r="2733" spans="3:12">
      <c r="C2733" s="161">
        <f t="shared" si="177"/>
        <v>2016</v>
      </c>
      <c r="D2733" s="35" t="s">
        <v>301</v>
      </c>
      <c r="E2733" s="227">
        <v>42614</v>
      </c>
      <c r="F2733" s="156">
        <v>75413.041274999996</v>
      </c>
      <c r="G2733" s="131">
        <f t="shared" si="178"/>
        <v>13514.016996479999</v>
      </c>
      <c r="H2733" s="156">
        <v>5906.35</v>
      </c>
      <c r="I2733" s="156">
        <v>0</v>
      </c>
      <c r="J2733" s="156">
        <v>0</v>
      </c>
      <c r="K2733" s="131">
        <f t="shared" si="179"/>
        <v>5906.35</v>
      </c>
      <c r="L2733" s="134">
        <v>0.1792</v>
      </c>
    </row>
    <row r="2734" spans="3:12">
      <c r="C2734" s="161">
        <f t="shared" si="177"/>
        <v>2016</v>
      </c>
      <c r="D2734" s="35" t="s">
        <v>301</v>
      </c>
      <c r="E2734" s="227">
        <v>42644</v>
      </c>
      <c r="F2734" s="156">
        <v>75119.555775000001</v>
      </c>
      <c r="G2734" s="131">
        <f t="shared" si="178"/>
        <v>13461.424394879999</v>
      </c>
      <c r="H2734" s="156">
        <v>916.44</v>
      </c>
      <c r="I2734" s="156">
        <v>0</v>
      </c>
      <c r="J2734" s="156">
        <v>0</v>
      </c>
      <c r="K2734" s="131">
        <f t="shared" si="179"/>
        <v>916.44</v>
      </c>
      <c r="L2734" s="134">
        <v>0.1792</v>
      </c>
    </row>
    <row r="2735" spans="3:12">
      <c r="C2735" s="161">
        <f t="shared" si="177"/>
        <v>2016</v>
      </c>
      <c r="D2735" s="35" t="s">
        <v>301</v>
      </c>
      <c r="E2735" s="227">
        <v>42675</v>
      </c>
      <c r="F2735" s="156">
        <v>82399.293900000004</v>
      </c>
      <c r="G2735" s="131">
        <f t="shared" si="178"/>
        <v>14765.953466880001</v>
      </c>
      <c r="H2735" s="156">
        <v>0</v>
      </c>
      <c r="I2735" s="156">
        <v>0</v>
      </c>
      <c r="J2735" s="156">
        <v>0</v>
      </c>
      <c r="K2735" s="131">
        <f t="shared" si="179"/>
        <v>0</v>
      </c>
      <c r="L2735" s="134">
        <v>0.1792</v>
      </c>
    </row>
    <row r="2736" spans="3:12">
      <c r="C2736" s="161">
        <f t="shared" si="177"/>
        <v>2016</v>
      </c>
      <c r="D2736" s="35" t="s">
        <v>301</v>
      </c>
      <c r="E2736" s="227">
        <v>42705</v>
      </c>
      <c r="F2736" s="156">
        <v>80721.625874999998</v>
      </c>
      <c r="G2736" s="131">
        <f t="shared" si="178"/>
        <v>14465.3153568</v>
      </c>
      <c r="H2736" s="156">
        <v>1575.81</v>
      </c>
      <c r="I2736" s="156">
        <v>0</v>
      </c>
      <c r="J2736" s="156">
        <v>0</v>
      </c>
      <c r="K2736" s="131">
        <f t="shared" si="179"/>
        <v>1575.81</v>
      </c>
      <c r="L2736" s="134">
        <v>0.1792</v>
      </c>
    </row>
    <row r="2737" spans="3:12">
      <c r="C2737" s="161">
        <f t="shared" si="177"/>
        <v>2017</v>
      </c>
      <c r="D2737" s="35" t="s">
        <v>301</v>
      </c>
      <c r="E2737" s="227">
        <v>42736</v>
      </c>
      <c r="F2737" s="156">
        <v>73423.111575000003</v>
      </c>
      <c r="G2737" s="131">
        <f t="shared" si="178"/>
        <v>13157.421594240001</v>
      </c>
      <c r="H2737" s="156">
        <v>979.63</v>
      </c>
      <c r="I2737" s="156">
        <v>0</v>
      </c>
      <c r="J2737" s="156">
        <v>2523.3200000000002</v>
      </c>
      <c r="K2737" s="131">
        <f t="shared" si="179"/>
        <v>3502.9500000000003</v>
      </c>
      <c r="L2737" s="134">
        <v>0.1792</v>
      </c>
    </row>
    <row r="2738" spans="3:12">
      <c r="C2738" s="161">
        <f t="shared" si="177"/>
        <v>2017</v>
      </c>
      <c r="D2738" s="35" t="s">
        <v>301</v>
      </c>
      <c r="E2738" s="227">
        <v>42767</v>
      </c>
      <c r="F2738" s="156">
        <v>74982.859049999999</v>
      </c>
      <c r="G2738" s="131">
        <f t="shared" si="178"/>
        <v>13436.92834176</v>
      </c>
      <c r="H2738" s="156">
        <v>0</v>
      </c>
      <c r="I2738" s="156">
        <v>0</v>
      </c>
      <c r="J2738" s="156">
        <v>0</v>
      </c>
      <c r="K2738" s="131">
        <f t="shared" si="179"/>
        <v>0</v>
      </c>
      <c r="L2738" s="134">
        <v>0.1792</v>
      </c>
    </row>
    <row r="2739" spans="3:12">
      <c r="C2739" s="161">
        <f t="shared" si="177"/>
        <v>2017</v>
      </c>
      <c r="D2739" s="35" t="s">
        <v>301</v>
      </c>
      <c r="E2739" s="227">
        <v>42795</v>
      </c>
      <c r="F2739" s="156">
        <v>76409.5</v>
      </c>
      <c r="G2739" s="131">
        <f t="shared" si="178"/>
        <v>13692.582399999999</v>
      </c>
      <c r="H2739" s="156">
        <v>941.67</v>
      </c>
      <c r="I2739" s="156">
        <v>0</v>
      </c>
      <c r="J2739" s="156">
        <v>1240.2</v>
      </c>
      <c r="K2739" s="131">
        <f t="shared" si="179"/>
        <v>2181.87</v>
      </c>
      <c r="L2739" s="134">
        <v>0.1792</v>
      </c>
    </row>
    <row r="2740" spans="3:12">
      <c r="C2740" s="161">
        <f t="shared" si="177"/>
        <v>2017</v>
      </c>
      <c r="D2740" s="35" t="s">
        <v>301</v>
      </c>
      <c r="E2740" s="227">
        <v>42826</v>
      </c>
      <c r="F2740" s="156">
        <v>69681.33</v>
      </c>
      <c r="G2740" s="131">
        <f t="shared" si="178"/>
        <v>12486.894335999999</v>
      </c>
      <c r="H2740" s="156">
        <v>0</v>
      </c>
      <c r="I2740" s="156">
        <v>0</v>
      </c>
      <c r="J2740" s="156">
        <v>0</v>
      </c>
      <c r="K2740" s="131">
        <f t="shared" si="179"/>
        <v>0</v>
      </c>
      <c r="L2740" s="134">
        <v>0.1792</v>
      </c>
    </row>
    <row r="2741" spans="3:12">
      <c r="C2741" s="161">
        <f t="shared" si="177"/>
        <v>2017</v>
      </c>
      <c r="D2741" s="35" t="s">
        <v>301</v>
      </c>
      <c r="E2741" s="227">
        <v>42856</v>
      </c>
      <c r="F2741" s="156">
        <v>63958.87</v>
      </c>
      <c r="G2741" s="131">
        <f t="shared" si="178"/>
        <v>11461.429504</v>
      </c>
      <c r="H2741" s="156">
        <v>0</v>
      </c>
      <c r="I2741" s="156">
        <v>0</v>
      </c>
      <c r="J2741" s="156">
        <v>0</v>
      </c>
      <c r="K2741" s="131">
        <f t="shared" si="179"/>
        <v>0</v>
      </c>
      <c r="L2741" s="134">
        <v>0.1792</v>
      </c>
    </row>
    <row r="2742" spans="3:12">
      <c r="C2742" s="161">
        <f t="shared" si="177"/>
        <v>2017</v>
      </c>
      <c r="D2742" s="35" t="s">
        <v>301</v>
      </c>
      <c r="E2742" s="227">
        <v>42887</v>
      </c>
      <c r="F2742" s="156">
        <v>68392.03</v>
      </c>
      <c r="G2742" s="131">
        <f t="shared" si="178"/>
        <v>12255.851776</v>
      </c>
      <c r="H2742" s="156">
        <v>235.18</v>
      </c>
      <c r="I2742" s="156">
        <v>0</v>
      </c>
      <c r="J2742" s="156">
        <v>0</v>
      </c>
      <c r="K2742" s="131">
        <f t="shared" si="179"/>
        <v>235.18</v>
      </c>
      <c r="L2742" s="134">
        <v>0.1792</v>
      </c>
    </row>
    <row r="2743" spans="3:12">
      <c r="C2743" s="161">
        <f t="shared" si="177"/>
        <v>2017</v>
      </c>
      <c r="D2743" s="35" t="s">
        <v>301</v>
      </c>
      <c r="E2743" s="227">
        <v>42917</v>
      </c>
      <c r="F2743" s="156">
        <v>69158.759999999995</v>
      </c>
      <c r="G2743" s="131">
        <f t="shared" si="178"/>
        <v>12393.249791999999</v>
      </c>
      <c r="H2743" s="156">
        <v>0</v>
      </c>
      <c r="I2743" s="156">
        <v>0</v>
      </c>
      <c r="J2743" s="156">
        <v>5334.73</v>
      </c>
      <c r="K2743" s="131">
        <f t="shared" si="179"/>
        <v>5334.73</v>
      </c>
      <c r="L2743" s="134">
        <v>0.1792</v>
      </c>
    </row>
    <row r="2744" spans="3:12">
      <c r="C2744" s="161">
        <f t="shared" si="177"/>
        <v>2017</v>
      </c>
      <c r="D2744" s="35" t="s">
        <v>301</v>
      </c>
      <c r="E2744" s="227">
        <v>42948</v>
      </c>
      <c r="F2744" s="156">
        <v>75943.509999999995</v>
      </c>
      <c r="G2744" s="131">
        <f t="shared" si="178"/>
        <v>13609.076991999998</v>
      </c>
      <c r="H2744" s="156">
        <v>13496.35</v>
      </c>
      <c r="I2744" s="156">
        <v>0</v>
      </c>
      <c r="J2744" s="156">
        <v>0</v>
      </c>
      <c r="K2744" s="131">
        <f t="shared" si="179"/>
        <v>13496.35</v>
      </c>
      <c r="L2744" s="134">
        <v>0.1792</v>
      </c>
    </row>
    <row r="2745" spans="3:12">
      <c r="C2745" s="161">
        <f t="shared" si="177"/>
        <v>2017</v>
      </c>
      <c r="D2745" s="35" t="s">
        <v>301</v>
      </c>
      <c r="E2745" s="227">
        <v>42979</v>
      </c>
      <c r="F2745" s="156">
        <v>80677</v>
      </c>
      <c r="G2745" s="131">
        <f t="shared" si="178"/>
        <v>14457.3184</v>
      </c>
      <c r="H2745" s="156">
        <v>1938.6</v>
      </c>
      <c r="I2745" s="156">
        <v>0</v>
      </c>
      <c r="J2745" s="156">
        <v>119089.35</v>
      </c>
      <c r="K2745" s="131">
        <f t="shared" si="179"/>
        <v>121027.95000000001</v>
      </c>
      <c r="L2745" s="134">
        <v>0.1792</v>
      </c>
    </row>
    <row r="2746" spans="3:12">
      <c r="C2746" s="161">
        <f t="shared" si="177"/>
        <v>2017</v>
      </c>
      <c r="D2746" s="35" t="s">
        <v>301</v>
      </c>
      <c r="E2746" s="227">
        <v>43009</v>
      </c>
      <c r="F2746" s="156">
        <v>79076.17</v>
      </c>
      <c r="G2746" s="131">
        <f t="shared" si="178"/>
        <v>14170.449664</v>
      </c>
      <c r="H2746" s="156">
        <v>877.79</v>
      </c>
      <c r="I2746" s="156">
        <v>0</v>
      </c>
      <c r="J2746" s="156">
        <v>0</v>
      </c>
      <c r="K2746" s="131">
        <f t="shared" si="179"/>
        <v>877.79</v>
      </c>
      <c r="L2746" s="134">
        <v>0.1792</v>
      </c>
    </row>
    <row r="2747" spans="3:12">
      <c r="C2747" s="161">
        <f t="shared" si="177"/>
        <v>2017</v>
      </c>
      <c r="D2747" s="35" t="s">
        <v>301</v>
      </c>
      <c r="E2747" s="227">
        <v>43040</v>
      </c>
      <c r="F2747" s="156">
        <v>76475.69</v>
      </c>
      <c r="G2747" s="131">
        <f t="shared" si="178"/>
        <v>13704.443648</v>
      </c>
      <c r="H2747" s="156">
        <v>0</v>
      </c>
      <c r="I2747" s="156">
        <v>0</v>
      </c>
      <c r="J2747" s="156">
        <v>0</v>
      </c>
      <c r="K2747" s="131">
        <f t="shared" si="179"/>
        <v>0</v>
      </c>
      <c r="L2747" s="134">
        <v>0.1792</v>
      </c>
    </row>
    <row r="2748" spans="3:12">
      <c r="C2748" s="161">
        <f t="shared" si="177"/>
        <v>2017</v>
      </c>
      <c r="D2748" s="35" t="s">
        <v>301</v>
      </c>
      <c r="E2748" s="227">
        <v>43070</v>
      </c>
      <c r="F2748" s="156">
        <v>84247.58</v>
      </c>
      <c r="G2748" s="131">
        <f t="shared" si="178"/>
        <v>15097.166336</v>
      </c>
      <c r="H2748" s="156">
        <v>0</v>
      </c>
      <c r="I2748" s="156">
        <v>0</v>
      </c>
      <c r="J2748" s="156">
        <v>0</v>
      </c>
      <c r="K2748" s="131">
        <f t="shared" si="179"/>
        <v>0</v>
      </c>
      <c r="L2748" s="134">
        <v>0.1792</v>
      </c>
    </row>
    <row r="2749" spans="3:12">
      <c r="C2749" s="161">
        <f t="shared" si="177"/>
        <v>2018</v>
      </c>
      <c r="D2749" s="35" t="s">
        <v>301</v>
      </c>
      <c r="E2749" s="227">
        <v>43101</v>
      </c>
      <c r="F2749" s="156">
        <v>77893.48</v>
      </c>
      <c r="G2749" s="131">
        <f t="shared" si="178"/>
        <v>13958.511616</v>
      </c>
      <c r="H2749" s="156">
        <v>100.22</v>
      </c>
      <c r="I2749" s="156">
        <v>0</v>
      </c>
      <c r="J2749" s="156">
        <v>0</v>
      </c>
      <c r="K2749" s="131">
        <f t="shared" si="179"/>
        <v>100.22</v>
      </c>
      <c r="L2749" s="134">
        <v>0.1792</v>
      </c>
    </row>
    <row r="2750" spans="3:12">
      <c r="C2750" s="161">
        <f t="shared" si="177"/>
        <v>2018</v>
      </c>
      <c r="D2750" s="35" t="s">
        <v>301</v>
      </c>
      <c r="E2750" s="227">
        <v>43132</v>
      </c>
      <c r="F2750" s="156">
        <v>85431.54</v>
      </c>
      <c r="G2750" s="131">
        <f t="shared" si="178"/>
        <v>15309.331967999999</v>
      </c>
      <c r="H2750" s="156">
        <v>636.51</v>
      </c>
      <c r="I2750" s="156">
        <v>0</v>
      </c>
      <c r="J2750" s="156">
        <v>0</v>
      </c>
      <c r="K2750" s="131">
        <f t="shared" si="179"/>
        <v>636.51</v>
      </c>
      <c r="L2750" s="134">
        <v>0.1792</v>
      </c>
    </row>
    <row r="2751" spans="3:12">
      <c r="C2751" s="161">
        <f t="shared" si="177"/>
        <v>2018</v>
      </c>
      <c r="D2751" s="35" t="s">
        <v>301</v>
      </c>
      <c r="E2751" s="227">
        <v>43160</v>
      </c>
      <c r="F2751" s="156">
        <v>74514.710000000006</v>
      </c>
      <c r="G2751" s="131">
        <f t="shared" si="178"/>
        <v>13353.036032000002</v>
      </c>
      <c r="H2751" s="156">
        <v>0</v>
      </c>
      <c r="I2751" s="156">
        <v>0</v>
      </c>
      <c r="J2751" s="156">
        <v>0</v>
      </c>
      <c r="K2751" s="131">
        <f t="shared" si="179"/>
        <v>0</v>
      </c>
      <c r="L2751" s="134">
        <v>0.1792</v>
      </c>
    </row>
    <row r="2752" spans="3:12">
      <c r="C2752" s="161">
        <f t="shared" si="177"/>
        <v>2018</v>
      </c>
      <c r="D2752" s="35" t="s">
        <v>301</v>
      </c>
      <c r="E2752" s="227">
        <v>43191</v>
      </c>
      <c r="F2752" s="156">
        <v>82517.649999999994</v>
      </c>
      <c r="G2752" s="131">
        <f t="shared" si="178"/>
        <v>14787.162879999998</v>
      </c>
      <c r="H2752" s="156">
        <v>355.43</v>
      </c>
      <c r="I2752" s="156">
        <v>0</v>
      </c>
      <c r="J2752" s="156">
        <v>0</v>
      </c>
      <c r="K2752" s="131">
        <f t="shared" si="179"/>
        <v>355.43</v>
      </c>
      <c r="L2752" s="134">
        <v>0.1792</v>
      </c>
    </row>
    <row r="2753" spans="3:12">
      <c r="C2753" s="161">
        <f t="shared" si="177"/>
        <v>2018</v>
      </c>
      <c r="D2753" s="35" t="s">
        <v>301</v>
      </c>
      <c r="E2753" s="227">
        <v>43221</v>
      </c>
      <c r="F2753" s="156">
        <v>85585.76</v>
      </c>
      <c r="G2753" s="131">
        <f t="shared" si="178"/>
        <v>15336.968191999998</v>
      </c>
      <c r="H2753" s="156">
        <v>975.26</v>
      </c>
      <c r="I2753" s="156">
        <v>0</v>
      </c>
      <c r="J2753" s="156">
        <v>0</v>
      </c>
      <c r="K2753" s="131">
        <f t="shared" si="179"/>
        <v>975.26</v>
      </c>
      <c r="L2753" s="134">
        <v>0.1792</v>
      </c>
    </row>
    <row r="2754" spans="3:12">
      <c r="C2754" s="161">
        <f t="shared" si="177"/>
        <v>2018</v>
      </c>
      <c r="D2754" s="35" t="s">
        <v>301</v>
      </c>
      <c r="E2754" s="227">
        <v>43252</v>
      </c>
      <c r="F2754" s="156">
        <v>73924.789999999994</v>
      </c>
      <c r="G2754" s="131">
        <f t="shared" si="178"/>
        <v>13247.322367999999</v>
      </c>
      <c r="H2754" s="156">
        <v>0</v>
      </c>
      <c r="I2754" s="156">
        <v>0</v>
      </c>
      <c r="J2754" s="156">
        <v>0</v>
      </c>
      <c r="K2754" s="131">
        <f t="shared" si="179"/>
        <v>0</v>
      </c>
      <c r="L2754" s="134">
        <v>0.1792</v>
      </c>
    </row>
    <row r="2755" spans="3:12">
      <c r="C2755" s="161">
        <f t="shared" si="177"/>
        <v>2018</v>
      </c>
      <c r="D2755" s="35" t="s">
        <v>301</v>
      </c>
      <c r="E2755" s="227">
        <v>43282</v>
      </c>
      <c r="F2755" s="156">
        <v>77085.259999999995</v>
      </c>
      <c r="G2755" s="131">
        <f t="shared" si="178"/>
        <v>13813.678591999998</v>
      </c>
      <c r="H2755" s="156">
        <v>563.35</v>
      </c>
      <c r="I2755" s="156">
        <v>0</v>
      </c>
      <c r="J2755" s="156">
        <v>0</v>
      </c>
      <c r="K2755" s="131">
        <f t="shared" si="179"/>
        <v>563.35</v>
      </c>
      <c r="L2755" s="134">
        <v>0.1792</v>
      </c>
    </row>
    <row r="2756" spans="3:12">
      <c r="C2756" s="161">
        <f t="shared" ref="C2756:C2819" si="180">YEAR(E2756)</f>
        <v>2018</v>
      </c>
      <c r="D2756" s="35" t="s">
        <v>301</v>
      </c>
      <c r="E2756" s="227">
        <v>43313</v>
      </c>
      <c r="F2756" s="156">
        <v>78201.009999999995</v>
      </c>
      <c r="G2756" s="131">
        <f t="shared" ref="G2756:G2819" si="181">F2756*L2756</f>
        <v>14013.620991999998</v>
      </c>
      <c r="H2756" s="156">
        <v>5688.72</v>
      </c>
      <c r="I2756" s="156">
        <v>0</v>
      </c>
      <c r="J2756" s="156">
        <v>0</v>
      </c>
      <c r="K2756" s="131">
        <f t="shared" ref="K2756:K2819" si="182">SUM(H2756:J2756)</f>
        <v>5688.72</v>
      </c>
      <c r="L2756" s="134">
        <v>0.1792</v>
      </c>
    </row>
    <row r="2757" spans="3:12">
      <c r="C2757" s="161">
        <f t="shared" si="180"/>
        <v>2018</v>
      </c>
      <c r="D2757" s="35" t="s">
        <v>301</v>
      </c>
      <c r="E2757" s="227">
        <v>43344</v>
      </c>
      <c r="F2757" s="156">
        <v>78633.37</v>
      </c>
      <c r="G2757" s="131">
        <f t="shared" si="181"/>
        <v>14091.099903999999</v>
      </c>
      <c r="H2757" s="156">
        <v>0</v>
      </c>
      <c r="I2757" s="156">
        <v>0</v>
      </c>
      <c r="J2757" s="156">
        <v>0</v>
      </c>
      <c r="K2757" s="131">
        <f t="shared" si="182"/>
        <v>0</v>
      </c>
      <c r="L2757" s="134">
        <v>0.1792</v>
      </c>
    </row>
    <row r="2758" spans="3:12">
      <c r="C2758" s="161">
        <f t="shared" si="180"/>
        <v>2018</v>
      </c>
      <c r="D2758" s="35" t="s">
        <v>301</v>
      </c>
      <c r="E2758" s="227">
        <v>43374</v>
      </c>
      <c r="F2758" s="156">
        <v>76565.56</v>
      </c>
      <c r="G2758" s="131">
        <f t="shared" si="181"/>
        <v>13720.548352</v>
      </c>
      <c r="H2758" s="156">
        <v>1128.24</v>
      </c>
      <c r="I2758" s="156">
        <v>0</v>
      </c>
      <c r="J2758" s="156">
        <v>0</v>
      </c>
      <c r="K2758" s="131">
        <f t="shared" si="182"/>
        <v>1128.24</v>
      </c>
      <c r="L2758" s="134">
        <v>0.1792</v>
      </c>
    </row>
    <row r="2759" spans="3:12">
      <c r="C2759" s="161">
        <f t="shared" si="180"/>
        <v>2018</v>
      </c>
      <c r="D2759" s="35" t="s">
        <v>301</v>
      </c>
      <c r="E2759" s="227">
        <v>43405</v>
      </c>
      <c r="F2759" s="156">
        <v>79792.236975000007</v>
      </c>
      <c r="G2759" s="131">
        <f t="shared" si="181"/>
        <v>14298.768865920001</v>
      </c>
      <c r="H2759" s="156">
        <v>64.28</v>
      </c>
      <c r="I2759" s="156">
        <v>0</v>
      </c>
      <c r="J2759" s="156">
        <v>0</v>
      </c>
      <c r="K2759" s="131">
        <f t="shared" si="182"/>
        <v>64.28</v>
      </c>
      <c r="L2759" s="134">
        <v>0.1792</v>
      </c>
    </row>
    <row r="2760" spans="3:12">
      <c r="C2760" s="161">
        <f t="shared" si="180"/>
        <v>2018</v>
      </c>
      <c r="D2760" s="35" t="s">
        <v>301</v>
      </c>
      <c r="E2760" s="227">
        <v>43435</v>
      </c>
      <c r="F2760" s="156">
        <v>85364.52</v>
      </c>
      <c r="G2760" s="131">
        <f t="shared" si="181"/>
        <v>15297.321984</v>
      </c>
      <c r="H2760" s="156">
        <v>290.49</v>
      </c>
      <c r="I2760" s="156">
        <v>0</v>
      </c>
      <c r="J2760" s="156">
        <v>0</v>
      </c>
      <c r="K2760" s="131">
        <f t="shared" si="182"/>
        <v>290.49</v>
      </c>
      <c r="L2760" s="134">
        <v>0.1792</v>
      </c>
    </row>
    <row r="2761" spans="3:12">
      <c r="C2761" s="161">
        <f t="shared" si="180"/>
        <v>2019</v>
      </c>
      <c r="D2761" s="35" t="s">
        <v>301</v>
      </c>
      <c r="E2761" s="227">
        <v>43466</v>
      </c>
      <c r="F2761" s="156">
        <v>85466.83</v>
      </c>
      <c r="G2761" s="131">
        <f t="shared" si="181"/>
        <v>15315.655936000001</v>
      </c>
      <c r="H2761" s="156">
        <v>326.68</v>
      </c>
      <c r="I2761" s="156">
        <v>0</v>
      </c>
      <c r="J2761" s="156">
        <v>0</v>
      </c>
      <c r="K2761" s="131">
        <f t="shared" si="182"/>
        <v>326.68</v>
      </c>
      <c r="L2761" s="134">
        <v>0.1792</v>
      </c>
    </row>
    <row r="2762" spans="3:12">
      <c r="C2762" s="161">
        <f t="shared" si="180"/>
        <v>2019</v>
      </c>
      <c r="D2762" s="35" t="s">
        <v>301</v>
      </c>
      <c r="E2762" s="227">
        <v>43497</v>
      </c>
      <c r="F2762" s="156">
        <v>85076.14</v>
      </c>
      <c r="G2762" s="131">
        <f t="shared" si="181"/>
        <v>15245.644288</v>
      </c>
      <c r="H2762" s="156">
        <v>127.14</v>
      </c>
      <c r="I2762" s="156">
        <v>322495.26</v>
      </c>
      <c r="J2762" s="156">
        <v>0</v>
      </c>
      <c r="K2762" s="131">
        <f t="shared" si="182"/>
        <v>322622.40000000002</v>
      </c>
      <c r="L2762" s="134">
        <v>0.1792</v>
      </c>
    </row>
    <row r="2763" spans="3:12">
      <c r="C2763" s="161">
        <f t="shared" si="180"/>
        <v>2019</v>
      </c>
      <c r="D2763" s="35" t="s">
        <v>301</v>
      </c>
      <c r="E2763" s="227">
        <v>43525</v>
      </c>
      <c r="F2763" s="156">
        <v>76426.559999999998</v>
      </c>
      <c r="G2763" s="131">
        <f t="shared" si="181"/>
        <v>13695.639551999999</v>
      </c>
      <c r="H2763" s="156">
        <v>2212.38</v>
      </c>
      <c r="I2763" s="156">
        <v>178922.51</v>
      </c>
      <c r="J2763" s="156">
        <v>0</v>
      </c>
      <c r="K2763" s="131">
        <f t="shared" si="182"/>
        <v>181134.89</v>
      </c>
      <c r="L2763" s="134">
        <v>0.1792</v>
      </c>
    </row>
    <row r="2764" spans="3:12">
      <c r="C2764" s="161">
        <f t="shared" si="180"/>
        <v>2019</v>
      </c>
      <c r="D2764" s="35" t="s">
        <v>301</v>
      </c>
      <c r="E2764" s="227">
        <v>43556</v>
      </c>
      <c r="F2764" s="156">
        <v>76403.53</v>
      </c>
      <c r="G2764" s="131">
        <f t="shared" si="181"/>
        <v>13691.512575999999</v>
      </c>
      <c r="H2764" s="156">
        <v>102.45</v>
      </c>
      <c r="I2764" s="156">
        <v>398858.69</v>
      </c>
      <c r="J2764" s="156">
        <v>0</v>
      </c>
      <c r="K2764" s="131">
        <f t="shared" si="182"/>
        <v>398961.14</v>
      </c>
      <c r="L2764" s="134">
        <v>0.1792</v>
      </c>
    </row>
    <row r="2765" spans="3:12">
      <c r="C2765" s="161">
        <f t="shared" si="180"/>
        <v>2019</v>
      </c>
      <c r="D2765" s="35" t="s">
        <v>301</v>
      </c>
      <c r="E2765" s="227">
        <v>43586</v>
      </c>
      <c r="F2765" s="156">
        <v>75816.92</v>
      </c>
      <c r="G2765" s="131">
        <f t="shared" si="181"/>
        <v>13586.392064</v>
      </c>
      <c r="H2765" s="156">
        <v>684.6</v>
      </c>
      <c r="I2765" s="156">
        <v>118154.93</v>
      </c>
      <c r="J2765" s="156">
        <v>0</v>
      </c>
      <c r="K2765" s="131">
        <f t="shared" si="182"/>
        <v>118839.53</v>
      </c>
      <c r="L2765" s="134">
        <v>0.1792</v>
      </c>
    </row>
    <row r="2766" spans="3:12">
      <c r="C2766" s="161">
        <f t="shared" si="180"/>
        <v>2019</v>
      </c>
      <c r="D2766" s="35" t="s">
        <v>301</v>
      </c>
      <c r="E2766" s="227">
        <v>43617</v>
      </c>
      <c r="F2766" s="156">
        <v>77111.47</v>
      </c>
      <c r="G2766" s="131">
        <f t="shared" si="181"/>
        <v>13818.375424</v>
      </c>
      <c r="H2766" s="156">
        <v>0</v>
      </c>
      <c r="I2766" s="156">
        <v>241463.27</v>
      </c>
      <c r="J2766" s="156">
        <v>0</v>
      </c>
      <c r="K2766" s="131">
        <f t="shared" si="182"/>
        <v>241463.27</v>
      </c>
      <c r="L2766" s="134">
        <v>0.1792</v>
      </c>
    </row>
    <row r="2767" spans="3:12">
      <c r="C2767" s="161">
        <f t="shared" si="180"/>
        <v>2019</v>
      </c>
      <c r="D2767" s="35" t="s">
        <v>301</v>
      </c>
      <c r="E2767" s="227">
        <v>43647</v>
      </c>
      <c r="F2767" s="156">
        <v>81033.98</v>
      </c>
      <c r="G2767" s="131">
        <f t="shared" si="181"/>
        <v>14521.289215999999</v>
      </c>
      <c r="H2767" s="156">
        <v>396.38</v>
      </c>
      <c r="I2767" s="156">
        <v>461538.55</v>
      </c>
      <c r="J2767" s="156">
        <v>1816.3</v>
      </c>
      <c r="K2767" s="131">
        <f t="shared" si="182"/>
        <v>463751.23</v>
      </c>
      <c r="L2767" s="134">
        <v>0.1792</v>
      </c>
    </row>
    <row r="2768" spans="3:12">
      <c r="C2768" s="161">
        <f t="shared" si="180"/>
        <v>2019</v>
      </c>
      <c r="D2768" s="35" t="s">
        <v>301</v>
      </c>
      <c r="E2768" s="227">
        <v>43678</v>
      </c>
      <c r="F2768" s="156">
        <v>85107.87</v>
      </c>
      <c r="G2768" s="131">
        <f t="shared" si="181"/>
        <v>15251.330303999999</v>
      </c>
      <c r="H2768" s="156">
        <v>5178.6499999999996</v>
      </c>
      <c r="I2768" s="156">
        <v>584750.41</v>
      </c>
      <c r="J2768" s="156">
        <v>0</v>
      </c>
      <c r="K2768" s="131">
        <f t="shared" si="182"/>
        <v>589929.06000000006</v>
      </c>
      <c r="L2768" s="134">
        <v>0.1792</v>
      </c>
    </row>
    <row r="2769" spans="3:12">
      <c r="C2769" s="161">
        <f t="shared" si="180"/>
        <v>2019</v>
      </c>
      <c r="D2769" s="35" t="s">
        <v>301</v>
      </c>
      <c r="E2769" s="227">
        <v>43709</v>
      </c>
      <c r="F2769" s="156">
        <v>94071.5</v>
      </c>
      <c r="G2769" s="131">
        <f t="shared" si="181"/>
        <v>16857.612799999999</v>
      </c>
      <c r="H2769" s="156">
        <v>628.54</v>
      </c>
      <c r="I2769" s="156">
        <v>647915.28</v>
      </c>
      <c r="J2769" s="156">
        <v>0</v>
      </c>
      <c r="K2769" s="131">
        <f t="shared" si="182"/>
        <v>648543.82000000007</v>
      </c>
      <c r="L2769" s="134">
        <v>0.1792</v>
      </c>
    </row>
    <row r="2770" spans="3:12">
      <c r="C2770" s="161">
        <f t="shared" si="180"/>
        <v>2019</v>
      </c>
      <c r="D2770" s="35" t="s">
        <v>301</v>
      </c>
      <c r="E2770" s="227">
        <v>43739</v>
      </c>
      <c r="F2770" s="156">
        <v>95482.6</v>
      </c>
      <c r="G2770" s="131">
        <f t="shared" si="181"/>
        <v>17110.481920000002</v>
      </c>
      <c r="H2770" s="156">
        <v>1391.54</v>
      </c>
      <c r="I2770" s="156">
        <v>274098.28999999998</v>
      </c>
      <c r="J2770" s="156">
        <v>0</v>
      </c>
      <c r="K2770" s="131">
        <f t="shared" si="182"/>
        <v>275489.82999999996</v>
      </c>
      <c r="L2770" s="134">
        <v>0.1792</v>
      </c>
    </row>
    <row r="2771" spans="3:12">
      <c r="C2771" s="161">
        <f t="shared" si="180"/>
        <v>2019</v>
      </c>
      <c r="D2771" s="35" t="s">
        <v>301</v>
      </c>
      <c r="E2771" s="227">
        <v>43770</v>
      </c>
      <c r="F2771" s="156">
        <v>108095.27</v>
      </c>
      <c r="G2771" s="131">
        <f t="shared" si="181"/>
        <v>19370.672384000001</v>
      </c>
      <c r="H2771" s="156">
        <v>1562.51</v>
      </c>
      <c r="I2771" s="156">
        <v>269690.81</v>
      </c>
      <c r="J2771" s="156">
        <v>0</v>
      </c>
      <c r="K2771" s="131">
        <f t="shared" si="182"/>
        <v>271253.32</v>
      </c>
      <c r="L2771" s="134">
        <v>0.1792</v>
      </c>
    </row>
    <row r="2772" spans="3:12">
      <c r="C2772" s="161">
        <f t="shared" si="180"/>
        <v>2019</v>
      </c>
      <c r="D2772" s="35" t="s">
        <v>301</v>
      </c>
      <c r="E2772" s="227">
        <v>43800</v>
      </c>
      <c r="F2772" s="156">
        <v>98129.08</v>
      </c>
      <c r="G2772" s="131">
        <f t="shared" si="181"/>
        <v>17584.731135999999</v>
      </c>
      <c r="H2772" s="156">
        <v>268.95999999999998</v>
      </c>
      <c r="I2772" s="156">
        <v>225617.7</v>
      </c>
      <c r="J2772" s="156">
        <v>0</v>
      </c>
      <c r="K2772" s="131">
        <f t="shared" si="182"/>
        <v>225886.66</v>
      </c>
      <c r="L2772" s="134">
        <v>0.1792</v>
      </c>
    </row>
    <row r="2773" spans="3:12">
      <c r="C2773" s="161">
        <f t="shared" si="180"/>
        <v>2020</v>
      </c>
      <c r="D2773" s="35" t="s">
        <v>301</v>
      </c>
      <c r="E2773" s="227">
        <v>43831</v>
      </c>
      <c r="F2773" s="156">
        <v>93078.27</v>
      </c>
      <c r="G2773" s="131">
        <f t="shared" si="181"/>
        <v>16679.625984000002</v>
      </c>
      <c r="H2773" s="156">
        <v>123.6</v>
      </c>
      <c r="I2773" s="156">
        <v>479291.17</v>
      </c>
      <c r="J2773" s="156">
        <v>0</v>
      </c>
      <c r="K2773" s="131">
        <f t="shared" si="182"/>
        <v>479414.76999999996</v>
      </c>
      <c r="L2773" s="134">
        <v>0.1792</v>
      </c>
    </row>
    <row r="2774" spans="3:12">
      <c r="C2774" s="161">
        <f t="shared" si="180"/>
        <v>2020</v>
      </c>
      <c r="D2774" s="35" t="s">
        <v>301</v>
      </c>
      <c r="E2774" s="227">
        <v>43862</v>
      </c>
      <c r="F2774" s="156">
        <v>90864.28</v>
      </c>
      <c r="G2774" s="131">
        <f t="shared" si="181"/>
        <v>16282.878976</v>
      </c>
      <c r="H2774" s="156">
        <v>349.13</v>
      </c>
      <c r="I2774" s="156">
        <v>0</v>
      </c>
      <c r="J2774" s="156">
        <v>0</v>
      </c>
      <c r="K2774" s="131">
        <f t="shared" si="182"/>
        <v>349.13</v>
      </c>
      <c r="L2774" s="134">
        <v>0.1792</v>
      </c>
    </row>
    <row r="2775" spans="3:12">
      <c r="C2775" s="161">
        <f t="shared" si="180"/>
        <v>2020</v>
      </c>
      <c r="D2775" s="35" t="s">
        <v>301</v>
      </c>
      <c r="E2775" s="227">
        <v>43891</v>
      </c>
      <c r="F2775" s="156">
        <v>92852.414325000005</v>
      </c>
      <c r="G2775" s="131">
        <f t="shared" si="181"/>
        <v>16639.152647040002</v>
      </c>
      <c r="H2775" s="156">
        <v>155810.28</v>
      </c>
      <c r="I2775" s="156">
        <v>6806.11</v>
      </c>
      <c r="J2775" s="156">
        <v>0</v>
      </c>
      <c r="K2775" s="131">
        <f t="shared" si="182"/>
        <v>162616.38999999998</v>
      </c>
      <c r="L2775" s="134">
        <v>0.1792</v>
      </c>
    </row>
    <row r="2776" spans="3:12">
      <c r="C2776" s="161">
        <f t="shared" si="180"/>
        <v>2020</v>
      </c>
      <c r="D2776" s="35" t="s">
        <v>301</v>
      </c>
      <c r="E2776" s="227">
        <v>43922</v>
      </c>
      <c r="F2776" s="156">
        <v>98671.331550000003</v>
      </c>
      <c r="G2776" s="131">
        <f t="shared" si="181"/>
        <v>17681.902613760001</v>
      </c>
      <c r="H2776" s="156">
        <v>0</v>
      </c>
      <c r="I2776" s="156">
        <v>0</v>
      </c>
      <c r="J2776" s="156">
        <v>0</v>
      </c>
      <c r="K2776" s="131">
        <f t="shared" si="182"/>
        <v>0</v>
      </c>
      <c r="L2776" s="134">
        <v>0.1792</v>
      </c>
    </row>
    <row r="2777" spans="3:12">
      <c r="C2777" s="161">
        <f t="shared" si="180"/>
        <v>2020</v>
      </c>
      <c r="D2777" s="35" t="s">
        <v>301</v>
      </c>
      <c r="E2777" s="227">
        <v>43952</v>
      </c>
      <c r="F2777" s="156">
        <v>90518.46</v>
      </c>
      <c r="G2777" s="131">
        <f t="shared" si="181"/>
        <v>16220.908032000001</v>
      </c>
      <c r="H2777" s="156">
        <v>831.96</v>
      </c>
      <c r="I2777" s="156">
        <v>0</v>
      </c>
      <c r="J2777" s="156">
        <v>1470.62</v>
      </c>
      <c r="K2777" s="131">
        <f t="shared" si="182"/>
        <v>2302.58</v>
      </c>
      <c r="L2777" s="134">
        <v>0.1792</v>
      </c>
    </row>
    <row r="2778" spans="3:12">
      <c r="C2778" s="161">
        <f t="shared" si="180"/>
        <v>2020</v>
      </c>
      <c r="D2778" s="35" t="s">
        <v>301</v>
      </c>
      <c r="E2778" s="227">
        <v>43983</v>
      </c>
      <c r="F2778" s="156">
        <v>82525.41</v>
      </c>
      <c r="G2778" s="131">
        <f t="shared" si="181"/>
        <v>14788.553472</v>
      </c>
      <c r="H2778" s="156">
        <v>404.95</v>
      </c>
      <c r="I2778" s="156">
        <v>5484.08</v>
      </c>
      <c r="J2778" s="156">
        <v>0</v>
      </c>
      <c r="K2778" s="131">
        <f t="shared" si="182"/>
        <v>5889.03</v>
      </c>
      <c r="L2778" s="134">
        <v>0.1792</v>
      </c>
    </row>
    <row r="2779" spans="3:12">
      <c r="C2779" s="161">
        <f t="shared" si="180"/>
        <v>2020</v>
      </c>
      <c r="D2779" s="35" t="s">
        <v>301</v>
      </c>
      <c r="E2779" s="227">
        <v>44013</v>
      </c>
      <c r="F2779" s="156">
        <v>84472.42</v>
      </c>
      <c r="G2779" s="131">
        <f t="shared" si="181"/>
        <v>15137.457664</v>
      </c>
      <c r="H2779" s="156">
        <v>817.78</v>
      </c>
      <c r="I2779" s="156">
        <v>534.03</v>
      </c>
      <c r="J2779" s="156">
        <v>663.7</v>
      </c>
      <c r="K2779" s="131">
        <f t="shared" si="182"/>
        <v>2015.51</v>
      </c>
      <c r="L2779" s="134">
        <v>0.1792</v>
      </c>
    </row>
    <row r="2780" spans="3:12">
      <c r="C2780" s="161">
        <f t="shared" si="180"/>
        <v>2020</v>
      </c>
      <c r="D2780" s="35" t="s">
        <v>301</v>
      </c>
      <c r="E2780" s="227">
        <v>44044</v>
      </c>
      <c r="F2780" s="156">
        <v>103402.75</v>
      </c>
      <c r="G2780" s="131">
        <f t="shared" si="181"/>
        <v>18529.772799999999</v>
      </c>
      <c r="H2780" s="156">
        <v>3018.68</v>
      </c>
      <c r="I2780" s="156">
        <v>2754.56</v>
      </c>
      <c r="J2780" s="156">
        <v>0</v>
      </c>
      <c r="K2780" s="131">
        <f t="shared" si="182"/>
        <v>5773.24</v>
      </c>
      <c r="L2780" s="134">
        <v>0.1792</v>
      </c>
    </row>
    <row r="2781" spans="3:12">
      <c r="C2781" s="161">
        <f t="shared" si="180"/>
        <v>2020</v>
      </c>
      <c r="D2781" s="35" t="s">
        <v>301</v>
      </c>
      <c r="E2781" s="227">
        <v>44075</v>
      </c>
      <c r="F2781" s="156">
        <v>105129.82</v>
      </c>
      <c r="G2781" s="131">
        <f t="shared" si="181"/>
        <v>18839.263744</v>
      </c>
      <c r="H2781" s="156">
        <v>3293.88</v>
      </c>
      <c r="I2781" s="156">
        <v>44388.800000000003</v>
      </c>
      <c r="J2781" s="156">
        <v>0</v>
      </c>
      <c r="K2781" s="131">
        <f t="shared" si="182"/>
        <v>47682.68</v>
      </c>
      <c r="L2781" s="134">
        <v>0.1792</v>
      </c>
    </row>
    <row r="2782" spans="3:12">
      <c r="C2782" s="161">
        <f t="shared" si="180"/>
        <v>2020</v>
      </c>
      <c r="D2782" s="35" t="s">
        <v>301</v>
      </c>
      <c r="E2782" s="227">
        <v>44105</v>
      </c>
      <c r="F2782" s="156">
        <v>116507.98</v>
      </c>
      <c r="G2782" s="131">
        <f t="shared" si="181"/>
        <v>20878.230015999998</v>
      </c>
      <c r="H2782" s="156">
        <v>10665.54</v>
      </c>
      <c r="I2782" s="156">
        <v>0</v>
      </c>
      <c r="J2782" s="156">
        <v>15940</v>
      </c>
      <c r="K2782" s="131">
        <f t="shared" si="182"/>
        <v>26605.54</v>
      </c>
      <c r="L2782" s="134">
        <v>0.1792</v>
      </c>
    </row>
    <row r="2783" spans="3:12">
      <c r="C2783" s="161">
        <f t="shared" si="180"/>
        <v>2020</v>
      </c>
      <c r="D2783" s="35" t="s">
        <v>301</v>
      </c>
      <c r="E2783" s="227">
        <v>44136</v>
      </c>
      <c r="F2783" s="156">
        <v>107156.19</v>
      </c>
      <c r="G2783" s="131">
        <f t="shared" si="181"/>
        <v>19202.389247999999</v>
      </c>
      <c r="H2783" s="156">
        <v>3222.23</v>
      </c>
      <c r="I2783" s="156">
        <v>0</v>
      </c>
      <c r="J2783" s="156">
        <v>0</v>
      </c>
      <c r="K2783" s="131">
        <f t="shared" si="182"/>
        <v>3222.23</v>
      </c>
      <c r="L2783" s="134">
        <v>0.1792</v>
      </c>
    </row>
    <row r="2784" spans="3:12">
      <c r="C2784" s="161">
        <f t="shared" si="180"/>
        <v>2020</v>
      </c>
      <c r="D2784" s="35" t="s">
        <v>301</v>
      </c>
      <c r="E2784" s="227">
        <v>44166</v>
      </c>
      <c r="F2784" s="156">
        <v>113450.42</v>
      </c>
      <c r="G2784" s="131">
        <f t="shared" si="181"/>
        <v>20330.315264000001</v>
      </c>
      <c r="H2784" s="156">
        <v>354.11</v>
      </c>
      <c r="I2784" s="156">
        <v>0.01</v>
      </c>
      <c r="J2784" s="156">
        <v>0</v>
      </c>
      <c r="K2784" s="131">
        <f t="shared" si="182"/>
        <v>354.12</v>
      </c>
      <c r="L2784" s="134">
        <v>0.1792</v>
      </c>
    </row>
    <row r="2785" spans="3:12">
      <c r="C2785" s="161">
        <f t="shared" si="180"/>
        <v>2021</v>
      </c>
      <c r="D2785" s="35" t="s">
        <v>301</v>
      </c>
      <c r="E2785" s="227">
        <v>44197</v>
      </c>
      <c r="F2785" s="156">
        <v>113672.88</v>
      </c>
      <c r="G2785" s="131">
        <f t="shared" si="181"/>
        <v>20370.180096</v>
      </c>
      <c r="H2785" s="156">
        <v>0</v>
      </c>
      <c r="I2785" s="156">
        <v>2096.42</v>
      </c>
      <c r="J2785" s="156">
        <v>2313.35</v>
      </c>
      <c r="K2785" s="131">
        <f t="shared" si="182"/>
        <v>4409.7700000000004</v>
      </c>
      <c r="L2785" s="134">
        <v>0.1792</v>
      </c>
    </row>
    <row r="2786" spans="3:12">
      <c r="C2786" s="161">
        <f t="shared" si="180"/>
        <v>2021</v>
      </c>
      <c r="D2786" s="35" t="s">
        <v>301</v>
      </c>
      <c r="E2786" s="227">
        <v>44229</v>
      </c>
      <c r="F2786" s="156">
        <v>111076.48</v>
      </c>
      <c r="G2786" s="131">
        <f t="shared" si="181"/>
        <v>19904.905215999999</v>
      </c>
      <c r="H2786" s="156">
        <v>160.06</v>
      </c>
      <c r="I2786" s="156">
        <v>1869.14</v>
      </c>
      <c r="J2786" s="156">
        <v>822.46</v>
      </c>
      <c r="K2786" s="131">
        <f t="shared" si="182"/>
        <v>2851.66</v>
      </c>
      <c r="L2786" s="134">
        <v>0.1792</v>
      </c>
    </row>
    <row r="2787" spans="3:12">
      <c r="C2787" s="161">
        <f t="shared" si="180"/>
        <v>2021</v>
      </c>
      <c r="D2787" s="35" t="s">
        <v>301</v>
      </c>
      <c r="E2787" s="227">
        <v>44258</v>
      </c>
      <c r="F2787" s="156">
        <v>99674.48</v>
      </c>
      <c r="G2787" s="131">
        <f t="shared" si="181"/>
        <v>17861.666816000001</v>
      </c>
      <c r="H2787" s="156">
        <v>293.39999999999998</v>
      </c>
      <c r="I2787" s="156">
        <v>0.01</v>
      </c>
      <c r="J2787" s="156">
        <v>0</v>
      </c>
      <c r="K2787" s="131">
        <f t="shared" si="182"/>
        <v>293.40999999999997</v>
      </c>
      <c r="L2787" s="134">
        <v>0.1792</v>
      </c>
    </row>
    <row r="2788" spans="3:12">
      <c r="C2788" s="161">
        <f t="shared" si="180"/>
        <v>2021</v>
      </c>
      <c r="D2788" s="35" t="s">
        <v>301</v>
      </c>
      <c r="E2788" s="227">
        <v>44290</v>
      </c>
      <c r="F2788" s="156">
        <v>118867.79</v>
      </c>
      <c r="G2788" s="131">
        <f t="shared" si="181"/>
        <v>21301.107968</v>
      </c>
      <c r="H2788" s="156">
        <v>13812.46</v>
      </c>
      <c r="I2788" s="156">
        <v>0</v>
      </c>
      <c r="J2788" s="156">
        <v>0</v>
      </c>
      <c r="K2788" s="131">
        <f t="shared" si="182"/>
        <v>13812.46</v>
      </c>
      <c r="L2788" s="134">
        <v>0.1792</v>
      </c>
    </row>
    <row r="2789" spans="3:12">
      <c r="C2789" s="161">
        <f t="shared" si="180"/>
        <v>2021</v>
      </c>
      <c r="D2789" s="35" t="s">
        <v>301</v>
      </c>
      <c r="E2789" s="227">
        <v>44321</v>
      </c>
      <c r="F2789" s="156">
        <v>107175.2</v>
      </c>
      <c r="G2789" s="131">
        <f t="shared" si="181"/>
        <v>19205.795839999999</v>
      </c>
      <c r="H2789" s="156">
        <v>258</v>
      </c>
      <c r="I2789" s="156">
        <v>0</v>
      </c>
      <c r="J2789" s="156">
        <v>0</v>
      </c>
      <c r="K2789" s="131">
        <f t="shared" si="182"/>
        <v>258</v>
      </c>
      <c r="L2789" s="134">
        <v>0.1792</v>
      </c>
    </row>
    <row r="2790" spans="3:12">
      <c r="C2790" s="161">
        <f t="shared" si="180"/>
        <v>2021</v>
      </c>
      <c r="D2790" s="35" t="s">
        <v>301</v>
      </c>
      <c r="E2790" s="227">
        <v>44353</v>
      </c>
      <c r="F2790" s="156">
        <v>106569.01</v>
      </c>
      <c r="G2790" s="131">
        <f t="shared" si="181"/>
        <v>19097.166591999998</v>
      </c>
      <c r="H2790" s="156">
        <v>171.48</v>
      </c>
      <c r="I2790" s="156">
        <v>13512.81</v>
      </c>
      <c r="J2790" s="156">
        <v>0</v>
      </c>
      <c r="K2790" s="131">
        <f t="shared" si="182"/>
        <v>13684.289999999999</v>
      </c>
      <c r="L2790" s="134">
        <v>0.1792</v>
      </c>
    </row>
    <row r="2791" spans="3:12">
      <c r="C2791" s="161">
        <f t="shared" si="180"/>
        <v>2015</v>
      </c>
      <c r="D2791" s="35" t="s">
        <v>302</v>
      </c>
      <c r="E2791" s="227">
        <v>42309</v>
      </c>
      <c r="F2791" s="156">
        <v>900588.35</v>
      </c>
      <c r="G2791" s="131">
        <f t="shared" si="181"/>
        <v>161385.43231999999</v>
      </c>
      <c r="H2791" s="156">
        <v>2414.9299999999998</v>
      </c>
      <c r="I2791" s="156">
        <v>3841.35</v>
      </c>
      <c r="J2791" s="156">
        <v>118597.78</v>
      </c>
      <c r="K2791" s="131">
        <f t="shared" si="182"/>
        <v>124854.06</v>
      </c>
      <c r="L2791" s="134">
        <v>0.1792</v>
      </c>
    </row>
    <row r="2792" spans="3:12">
      <c r="C2792" s="161">
        <f t="shared" si="180"/>
        <v>2015</v>
      </c>
      <c r="D2792" s="35" t="s">
        <v>302</v>
      </c>
      <c r="E2792" s="227">
        <v>42339</v>
      </c>
      <c r="F2792" s="156">
        <v>837710.78</v>
      </c>
      <c r="G2792" s="131">
        <f t="shared" si="181"/>
        <v>150117.77177600001</v>
      </c>
      <c r="H2792" s="156">
        <v>3301.6</v>
      </c>
      <c r="I2792" s="156">
        <v>353573.98</v>
      </c>
      <c r="J2792" s="156">
        <v>22921.439999999999</v>
      </c>
      <c r="K2792" s="131">
        <f t="shared" si="182"/>
        <v>379797.01999999996</v>
      </c>
      <c r="L2792" s="134">
        <v>0.1792</v>
      </c>
    </row>
    <row r="2793" spans="3:12">
      <c r="C2793" s="161">
        <f t="shared" si="180"/>
        <v>2016</v>
      </c>
      <c r="D2793" s="35" t="s">
        <v>302</v>
      </c>
      <c r="E2793" s="227">
        <v>42370</v>
      </c>
      <c r="F2793" s="156">
        <v>833605.03</v>
      </c>
      <c r="G2793" s="131">
        <f t="shared" si="181"/>
        <v>149382.02137599999</v>
      </c>
      <c r="H2793" s="156">
        <v>3064.06</v>
      </c>
      <c r="I2793" s="156">
        <v>0</v>
      </c>
      <c r="J2793" s="156">
        <v>0</v>
      </c>
      <c r="K2793" s="131">
        <f t="shared" si="182"/>
        <v>3064.06</v>
      </c>
      <c r="L2793" s="134">
        <v>0.1792</v>
      </c>
    </row>
    <row r="2794" spans="3:12">
      <c r="C2794" s="161">
        <f t="shared" si="180"/>
        <v>2016</v>
      </c>
      <c r="D2794" s="35" t="s">
        <v>302</v>
      </c>
      <c r="E2794" s="227">
        <v>42401</v>
      </c>
      <c r="F2794" s="156">
        <v>847406.26</v>
      </c>
      <c r="G2794" s="131">
        <f t="shared" si="181"/>
        <v>151855.20179200001</v>
      </c>
      <c r="H2794" s="156">
        <v>5241.05</v>
      </c>
      <c r="I2794" s="156">
        <v>5406.26</v>
      </c>
      <c r="J2794" s="156">
        <v>83098.929999999993</v>
      </c>
      <c r="K2794" s="131">
        <f t="shared" si="182"/>
        <v>93746.239999999991</v>
      </c>
      <c r="L2794" s="134">
        <v>0.1792</v>
      </c>
    </row>
    <row r="2795" spans="3:12">
      <c r="C2795" s="161">
        <f t="shared" si="180"/>
        <v>2016</v>
      </c>
      <c r="D2795" s="35" t="s">
        <v>302</v>
      </c>
      <c r="E2795" s="227">
        <v>42430</v>
      </c>
      <c r="F2795" s="156">
        <v>813984.26</v>
      </c>
      <c r="G2795" s="131">
        <f t="shared" si="181"/>
        <v>145865.97939200001</v>
      </c>
      <c r="H2795" s="156">
        <v>498566.13</v>
      </c>
      <c r="I2795" s="156">
        <v>8353.9500000000007</v>
      </c>
      <c r="J2795" s="156">
        <v>40771.85</v>
      </c>
      <c r="K2795" s="131">
        <f t="shared" si="182"/>
        <v>547691.93000000005</v>
      </c>
      <c r="L2795" s="134">
        <v>0.1792</v>
      </c>
    </row>
    <row r="2796" spans="3:12">
      <c r="C2796" s="161">
        <f t="shared" si="180"/>
        <v>2016</v>
      </c>
      <c r="D2796" s="35" t="s">
        <v>302</v>
      </c>
      <c r="E2796" s="227">
        <v>42461</v>
      </c>
      <c r="F2796" s="156">
        <v>928658.56</v>
      </c>
      <c r="G2796" s="131">
        <f t="shared" si="181"/>
        <v>166415.61395200001</v>
      </c>
      <c r="H2796" s="156">
        <v>287.75</v>
      </c>
      <c r="I2796" s="156">
        <v>4641.41</v>
      </c>
      <c r="J2796" s="156">
        <v>10655.04</v>
      </c>
      <c r="K2796" s="131">
        <f t="shared" si="182"/>
        <v>15584.2</v>
      </c>
      <c r="L2796" s="134">
        <v>0.1792</v>
      </c>
    </row>
    <row r="2797" spans="3:12">
      <c r="C2797" s="161">
        <f t="shared" si="180"/>
        <v>2016</v>
      </c>
      <c r="D2797" s="35" t="s">
        <v>302</v>
      </c>
      <c r="E2797" s="227">
        <v>42491</v>
      </c>
      <c r="F2797" s="156">
        <v>859900.41</v>
      </c>
      <c r="G2797" s="131">
        <f t="shared" si="181"/>
        <v>154094.15347200001</v>
      </c>
      <c r="H2797" s="156">
        <v>5834.71</v>
      </c>
      <c r="I2797" s="156">
        <v>683.92</v>
      </c>
      <c r="J2797" s="156">
        <v>44299.87</v>
      </c>
      <c r="K2797" s="131">
        <f t="shared" si="182"/>
        <v>50818.5</v>
      </c>
      <c r="L2797" s="134">
        <v>0.1792</v>
      </c>
    </row>
    <row r="2798" spans="3:12">
      <c r="C2798" s="161">
        <f t="shared" si="180"/>
        <v>2016</v>
      </c>
      <c r="D2798" s="35" t="s">
        <v>302</v>
      </c>
      <c r="E2798" s="227">
        <v>42522</v>
      </c>
      <c r="F2798" s="156">
        <v>814250.98</v>
      </c>
      <c r="G2798" s="131">
        <f t="shared" si="181"/>
        <v>145913.775616</v>
      </c>
      <c r="H2798" s="156">
        <v>5914.39</v>
      </c>
      <c r="I2798" s="156">
        <v>6842.3</v>
      </c>
      <c r="J2798" s="156">
        <v>8011.06</v>
      </c>
      <c r="K2798" s="131">
        <f t="shared" si="182"/>
        <v>20767.75</v>
      </c>
      <c r="L2798" s="134">
        <v>0.1792</v>
      </c>
    </row>
    <row r="2799" spans="3:12">
      <c r="C2799" s="161">
        <f t="shared" si="180"/>
        <v>2016</v>
      </c>
      <c r="D2799" s="35" t="s">
        <v>302</v>
      </c>
      <c r="E2799" s="227">
        <v>42552</v>
      </c>
      <c r="F2799" s="156">
        <v>908936.45</v>
      </c>
      <c r="G2799" s="131">
        <f t="shared" si="181"/>
        <v>162881.41183999999</v>
      </c>
      <c r="H2799" s="156">
        <v>52364.1</v>
      </c>
      <c r="I2799" s="156">
        <v>484461.47</v>
      </c>
      <c r="J2799" s="156">
        <v>0</v>
      </c>
      <c r="K2799" s="131">
        <f t="shared" si="182"/>
        <v>536825.56999999995</v>
      </c>
      <c r="L2799" s="134">
        <v>0.1792</v>
      </c>
    </row>
    <row r="2800" spans="3:12">
      <c r="C2800" s="161">
        <f t="shared" si="180"/>
        <v>2016</v>
      </c>
      <c r="D2800" s="35" t="s">
        <v>302</v>
      </c>
      <c r="E2800" s="227">
        <v>42583</v>
      </c>
      <c r="F2800" s="156">
        <v>944177.79</v>
      </c>
      <c r="G2800" s="131">
        <f t="shared" si="181"/>
        <v>169196.65996799999</v>
      </c>
      <c r="H2800" s="156">
        <v>6101.64</v>
      </c>
      <c r="I2800" s="156">
        <v>3236.22</v>
      </c>
      <c r="J2800" s="156">
        <v>0</v>
      </c>
      <c r="K2800" s="131">
        <f t="shared" si="182"/>
        <v>9337.86</v>
      </c>
      <c r="L2800" s="134">
        <v>0.1792</v>
      </c>
    </row>
    <row r="2801" spans="3:12">
      <c r="C2801" s="161">
        <f t="shared" si="180"/>
        <v>2016</v>
      </c>
      <c r="D2801" s="35" t="s">
        <v>302</v>
      </c>
      <c r="E2801" s="227">
        <v>42614</v>
      </c>
      <c r="F2801" s="156">
        <v>914007.03</v>
      </c>
      <c r="G2801" s="131">
        <f t="shared" si="181"/>
        <v>163790.05977600001</v>
      </c>
      <c r="H2801" s="156">
        <v>4311.63</v>
      </c>
      <c r="I2801" s="156">
        <v>14982.57</v>
      </c>
      <c r="J2801" s="156">
        <v>0</v>
      </c>
      <c r="K2801" s="131">
        <f t="shared" si="182"/>
        <v>19294.2</v>
      </c>
      <c r="L2801" s="134">
        <v>0.1792</v>
      </c>
    </row>
    <row r="2802" spans="3:12">
      <c r="C2802" s="161">
        <f t="shared" si="180"/>
        <v>2016</v>
      </c>
      <c r="D2802" s="35" t="s">
        <v>302</v>
      </c>
      <c r="E2802" s="227">
        <v>42644</v>
      </c>
      <c r="F2802" s="156">
        <v>956368.83</v>
      </c>
      <c r="G2802" s="131">
        <f t="shared" si="181"/>
        <v>171381.29433599999</v>
      </c>
      <c r="H2802" s="156">
        <v>60160.15</v>
      </c>
      <c r="I2802" s="156">
        <v>0</v>
      </c>
      <c r="J2802" s="156">
        <v>0</v>
      </c>
      <c r="K2802" s="131">
        <f t="shared" si="182"/>
        <v>60160.15</v>
      </c>
      <c r="L2802" s="134">
        <v>0.1792</v>
      </c>
    </row>
    <row r="2803" spans="3:12">
      <c r="C2803" s="161">
        <f t="shared" si="180"/>
        <v>2016</v>
      </c>
      <c r="D2803" s="35" t="s">
        <v>302</v>
      </c>
      <c r="E2803" s="227">
        <v>42675</v>
      </c>
      <c r="F2803" s="156">
        <v>1037633</v>
      </c>
      <c r="G2803" s="131">
        <f t="shared" si="181"/>
        <v>185943.83360000001</v>
      </c>
      <c r="H2803" s="156">
        <v>11568.48</v>
      </c>
      <c r="I2803" s="156">
        <v>2573.21</v>
      </c>
      <c r="J2803" s="156">
        <v>815</v>
      </c>
      <c r="K2803" s="131">
        <f t="shared" si="182"/>
        <v>14956.689999999999</v>
      </c>
      <c r="L2803" s="134">
        <v>0.1792</v>
      </c>
    </row>
    <row r="2804" spans="3:12">
      <c r="C2804" s="161">
        <f t="shared" si="180"/>
        <v>2016</v>
      </c>
      <c r="D2804" s="35" t="s">
        <v>302</v>
      </c>
      <c r="E2804" s="227">
        <v>42705</v>
      </c>
      <c r="F2804" s="156">
        <v>978803.65</v>
      </c>
      <c r="G2804" s="131">
        <f t="shared" si="181"/>
        <v>175401.61408</v>
      </c>
      <c r="H2804" s="156">
        <v>231550.45</v>
      </c>
      <c r="I2804" s="156">
        <v>3509.09</v>
      </c>
      <c r="J2804" s="156">
        <v>450.2</v>
      </c>
      <c r="K2804" s="131">
        <f t="shared" si="182"/>
        <v>235509.74000000002</v>
      </c>
      <c r="L2804" s="134">
        <v>0.1792</v>
      </c>
    </row>
    <row r="2805" spans="3:12">
      <c r="C2805" s="161">
        <f t="shared" si="180"/>
        <v>2017</v>
      </c>
      <c r="D2805" s="35" t="s">
        <v>302</v>
      </c>
      <c r="E2805" s="227">
        <v>42736</v>
      </c>
      <c r="F2805" s="156">
        <v>984352.34</v>
      </c>
      <c r="G2805" s="131">
        <f t="shared" si="181"/>
        <v>176395.93932799998</v>
      </c>
      <c r="H2805" s="156">
        <v>174234.98</v>
      </c>
      <c r="I2805" s="156">
        <v>2824.13</v>
      </c>
      <c r="J2805" s="156">
        <v>8053.86</v>
      </c>
      <c r="K2805" s="131">
        <f t="shared" si="182"/>
        <v>185112.97</v>
      </c>
      <c r="L2805" s="134">
        <v>0.1792</v>
      </c>
    </row>
    <row r="2806" spans="3:12">
      <c r="C2806" s="161">
        <f t="shared" si="180"/>
        <v>2017</v>
      </c>
      <c r="D2806" s="35" t="s">
        <v>302</v>
      </c>
      <c r="E2806" s="227">
        <v>42767</v>
      </c>
      <c r="F2806" s="156">
        <v>953638.39</v>
      </c>
      <c r="G2806" s="131">
        <f t="shared" si="181"/>
        <v>170891.999488</v>
      </c>
      <c r="H2806" s="156">
        <v>4620.42</v>
      </c>
      <c r="I2806" s="156">
        <v>2694.34</v>
      </c>
      <c r="J2806" s="156">
        <v>790</v>
      </c>
      <c r="K2806" s="131">
        <f t="shared" si="182"/>
        <v>8104.76</v>
      </c>
      <c r="L2806" s="134">
        <v>0.1792</v>
      </c>
    </row>
    <row r="2807" spans="3:12">
      <c r="C2807" s="161">
        <f t="shared" si="180"/>
        <v>2017</v>
      </c>
      <c r="D2807" s="35" t="s">
        <v>302</v>
      </c>
      <c r="E2807" s="227">
        <v>42795</v>
      </c>
      <c r="F2807" s="156">
        <v>927676.42</v>
      </c>
      <c r="G2807" s="131">
        <f t="shared" si="181"/>
        <v>166239.61446400001</v>
      </c>
      <c r="H2807" s="156">
        <v>67209.649999999994</v>
      </c>
      <c r="I2807" s="156">
        <v>3112.74</v>
      </c>
      <c r="J2807" s="156">
        <v>0</v>
      </c>
      <c r="K2807" s="131">
        <f t="shared" si="182"/>
        <v>70322.39</v>
      </c>
      <c r="L2807" s="134">
        <v>0.1792</v>
      </c>
    </row>
    <row r="2808" spans="3:12">
      <c r="C2808" s="161">
        <f t="shared" si="180"/>
        <v>2017</v>
      </c>
      <c r="D2808" s="35" t="s">
        <v>302</v>
      </c>
      <c r="E2808" s="227">
        <v>42826</v>
      </c>
      <c r="F2808" s="156">
        <v>930108.53</v>
      </c>
      <c r="G2808" s="131">
        <f t="shared" si="181"/>
        <v>166675.448576</v>
      </c>
      <c r="H2808" s="156">
        <v>85191.35</v>
      </c>
      <c r="I2808" s="156">
        <v>3392.39</v>
      </c>
      <c r="J2808" s="156">
        <v>369.94</v>
      </c>
      <c r="K2808" s="131">
        <f t="shared" si="182"/>
        <v>88953.680000000008</v>
      </c>
      <c r="L2808" s="134">
        <v>0.1792</v>
      </c>
    </row>
    <row r="2809" spans="3:12">
      <c r="C2809" s="161">
        <f t="shared" si="180"/>
        <v>2017</v>
      </c>
      <c r="D2809" s="35" t="s">
        <v>302</v>
      </c>
      <c r="E2809" s="227">
        <v>42856</v>
      </c>
      <c r="F2809" s="156">
        <v>898033.3</v>
      </c>
      <c r="G2809" s="131">
        <f t="shared" si="181"/>
        <v>160927.56736000002</v>
      </c>
      <c r="H2809" s="156">
        <v>3207.63</v>
      </c>
      <c r="I2809" s="156">
        <v>0</v>
      </c>
      <c r="J2809" s="156">
        <v>0</v>
      </c>
      <c r="K2809" s="131">
        <f t="shared" si="182"/>
        <v>3207.63</v>
      </c>
      <c r="L2809" s="134">
        <v>0.1792</v>
      </c>
    </row>
    <row r="2810" spans="3:12">
      <c r="C2810" s="161">
        <f t="shared" si="180"/>
        <v>2017</v>
      </c>
      <c r="D2810" s="35" t="s">
        <v>302</v>
      </c>
      <c r="E2810" s="227">
        <v>42887</v>
      </c>
      <c r="F2810" s="156">
        <v>910670.68</v>
      </c>
      <c r="G2810" s="131">
        <f t="shared" si="181"/>
        <v>163192.185856</v>
      </c>
      <c r="H2810" s="156">
        <v>98194.64</v>
      </c>
      <c r="I2810" s="156">
        <v>8443.6</v>
      </c>
      <c r="J2810" s="156">
        <v>0</v>
      </c>
      <c r="K2810" s="131">
        <f t="shared" si="182"/>
        <v>106638.24</v>
      </c>
      <c r="L2810" s="134">
        <v>0.1792</v>
      </c>
    </row>
    <row r="2811" spans="3:12">
      <c r="C2811" s="161">
        <f t="shared" si="180"/>
        <v>2017</v>
      </c>
      <c r="D2811" s="35" t="s">
        <v>302</v>
      </c>
      <c r="E2811" s="227">
        <v>42917</v>
      </c>
      <c r="F2811" s="156">
        <v>950756.25</v>
      </c>
      <c r="G2811" s="131">
        <f t="shared" si="181"/>
        <v>170375.52</v>
      </c>
      <c r="H2811" s="156">
        <v>146923.13</v>
      </c>
      <c r="I2811" s="156">
        <v>455234.37</v>
      </c>
      <c r="J2811" s="156">
        <v>0</v>
      </c>
      <c r="K2811" s="131">
        <f t="shared" si="182"/>
        <v>602157.5</v>
      </c>
      <c r="L2811" s="134">
        <v>0.1792</v>
      </c>
    </row>
    <row r="2812" spans="3:12">
      <c r="C2812" s="161">
        <f t="shared" si="180"/>
        <v>2017</v>
      </c>
      <c r="D2812" s="35" t="s">
        <v>302</v>
      </c>
      <c r="E2812" s="227">
        <v>42948</v>
      </c>
      <c r="F2812" s="156">
        <v>1056879.1000000001</v>
      </c>
      <c r="G2812" s="131">
        <f t="shared" si="181"/>
        <v>189392.73472000001</v>
      </c>
      <c r="H2812" s="156">
        <v>42041.81</v>
      </c>
      <c r="I2812" s="156">
        <v>6464.27</v>
      </c>
      <c r="J2812" s="156">
        <v>0</v>
      </c>
      <c r="K2812" s="131">
        <f t="shared" si="182"/>
        <v>48506.080000000002</v>
      </c>
      <c r="L2812" s="134">
        <v>0.1792</v>
      </c>
    </row>
    <row r="2813" spans="3:12">
      <c r="C2813" s="161">
        <f t="shared" si="180"/>
        <v>2017</v>
      </c>
      <c r="D2813" s="35" t="s">
        <v>302</v>
      </c>
      <c r="E2813" s="227">
        <v>42979</v>
      </c>
      <c r="F2813" s="156">
        <v>1110400.5900000001</v>
      </c>
      <c r="G2813" s="131">
        <f t="shared" si="181"/>
        <v>198983.78572800002</v>
      </c>
      <c r="H2813" s="156">
        <v>83648.479999999996</v>
      </c>
      <c r="I2813" s="156">
        <v>3658.22</v>
      </c>
      <c r="J2813" s="156">
        <v>0</v>
      </c>
      <c r="K2813" s="131">
        <f t="shared" si="182"/>
        <v>87306.7</v>
      </c>
      <c r="L2813" s="134">
        <v>0.1792</v>
      </c>
    </row>
    <row r="2814" spans="3:12">
      <c r="C2814" s="161">
        <f t="shared" si="180"/>
        <v>2017</v>
      </c>
      <c r="D2814" s="35" t="s">
        <v>302</v>
      </c>
      <c r="E2814" s="227">
        <v>43009</v>
      </c>
      <c r="F2814" s="156">
        <v>1053543.47</v>
      </c>
      <c r="G2814" s="131">
        <f t="shared" si="181"/>
        <v>188794.98982399999</v>
      </c>
      <c r="H2814" s="156">
        <v>313731.82</v>
      </c>
      <c r="I2814" s="156">
        <v>234793.68</v>
      </c>
      <c r="J2814" s="156">
        <v>0</v>
      </c>
      <c r="K2814" s="131">
        <f t="shared" si="182"/>
        <v>548525.5</v>
      </c>
      <c r="L2814" s="134">
        <v>0.1792</v>
      </c>
    </row>
    <row r="2815" spans="3:12">
      <c r="C2815" s="161">
        <f t="shared" si="180"/>
        <v>2017</v>
      </c>
      <c r="D2815" s="35" t="s">
        <v>302</v>
      </c>
      <c r="E2815" s="227">
        <v>43040</v>
      </c>
      <c r="F2815" s="156">
        <v>1065330.06</v>
      </c>
      <c r="G2815" s="131">
        <f t="shared" si="181"/>
        <v>190907.146752</v>
      </c>
      <c r="H2815" s="156">
        <v>192971.87</v>
      </c>
      <c r="I2815" s="156">
        <v>131099.35999999999</v>
      </c>
      <c r="J2815" s="156">
        <v>138500</v>
      </c>
      <c r="K2815" s="131">
        <f t="shared" si="182"/>
        <v>462571.23</v>
      </c>
      <c r="L2815" s="134">
        <v>0.1792</v>
      </c>
    </row>
    <row r="2816" spans="3:12">
      <c r="C2816" s="161">
        <f t="shared" si="180"/>
        <v>2017</v>
      </c>
      <c r="D2816" s="35" t="s">
        <v>302</v>
      </c>
      <c r="E2816" s="227">
        <v>43070</v>
      </c>
      <c r="F2816" s="156">
        <v>1015173.13</v>
      </c>
      <c r="G2816" s="131">
        <f t="shared" si="181"/>
        <v>181919.02489599999</v>
      </c>
      <c r="H2816" s="156">
        <v>80978.89</v>
      </c>
      <c r="I2816" s="156">
        <v>3515.73</v>
      </c>
      <c r="J2816" s="156">
        <v>16000</v>
      </c>
      <c r="K2816" s="131">
        <f t="shared" si="182"/>
        <v>100494.62</v>
      </c>
      <c r="L2816" s="134">
        <v>0.1792</v>
      </c>
    </row>
    <row r="2817" spans="3:12">
      <c r="C2817" s="161">
        <f t="shared" si="180"/>
        <v>2018</v>
      </c>
      <c r="D2817" s="35" t="s">
        <v>302</v>
      </c>
      <c r="E2817" s="227">
        <v>43101</v>
      </c>
      <c r="F2817" s="156">
        <v>968413.01</v>
      </c>
      <c r="G2817" s="131">
        <f t="shared" si="181"/>
        <v>173539.61139199999</v>
      </c>
      <c r="H2817" s="156">
        <v>337346.82</v>
      </c>
      <c r="I2817" s="156">
        <v>303168.84000000003</v>
      </c>
      <c r="J2817" s="156">
        <v>0</v>
      </c>
      <c r="K2817" s="131">
        <f t="shared" si="182"/>
        <v>640515.66</v>
      </c>
      <c r="L2817" s="134">
        <v>0.1792</v>
      </c>
    </row>
    <row r="2818" spans="3:12">
      <c r="C2818" s="161">
        <f t="shared" si="180"/>
        <v>2018</v>
      </c>
      <c r="D2818" s="35" t="s">
        <v>302</v>
      </c>
      <c r="E2818" s="227">
        <v>43132</v>
      </c>
      <c r="F2818" s="156">
        <v>1000001.84</v>
      </c>
      <c r="G2818" s="131">
        <f t="shared" si="181"/>
        <v>179200.32972799998</v>
      </c>
      <c r="H2818" s="156">
        <v>442489.66</v>
      </c>
      <c r="I2818" s="156">
        <v>2874.37</v>
      </c>
      <c r="J2818" s="156">
        <v>0</v>
      </c>
      <c r="K2818" s="131">
        <f t="shared" si="182"/>
        <v>445364.02999999997</v>
      </c>
      <c r="L2818" s="134">
        <v>0.1792</v>
      </c>
    </row>
    <row r="2819" spans="3:12">
      <c r="C2819" s="161">
        <f t="shared" si="180"/>
        <v>2018</v>
      </c>
      <c r="D2819" s="35" t="s">
        <v>302</v>
      </c>
      <c r="E2819" s="227">
        <v>43160</v>
      </c>
      <c r="F2819" s="156">
        <v>959612.71</v>
      </c>
      <c r="G2819" s="131">
        <f t="shared" si="181"/>
        <v>171962.59763199999</v>
      </c>
      <c r="H2819" s="156">
        <v>80909.72</v>
      </c>
      <c r="I2819" s="156">
        <v>3193.16</v>
      </c>
      <c r="J2819" s="156">
        <v>0</v>
      </c>
      <c r="K2819" s="131">
        <f t="shared" si="182"/>
        <v>84102.88</v>
      </c>
      <c r="L2819" s="134">
        <v>0.1792</v>
      </c>
    </row>
    <row r="2820" spans="3:12">
      <c r="C2820" s="161">
        <f t="shared" ref="C2820:C2883" si="183">YEAR(E2820)</f>
        <v>2018</v>
      </c>
      <c r="D2820" s="35" t="s">
        <v>302</v>
      </c>
      <c r="E2820" s="227">
        <v>43191</v>
      </c>
      <c r="F2820" s="156">
        <v>1063744.27</v>
      </c>
      <c r="G2820" s="131">
        <f t="shared" ref="G2820:G2883" si="184">F2820*L2820</f>
        <v>190622.973184</v>
      </c>
      <c r="H2820" s="156">
        <v>100127.31</v>
      </c>
      <c r="I2820" s="156">
        <v>380019.37</v>
      </c>
      <c r="J2820" s="156">
        <v>0</v>
      </c>
      <c r="K2820" s="131">
        <f t="shared" ref="K2820:K2883" si="185">SUM(H2820:J2820)</f>
        <v>480146.68</v>
      </c>
      <c r="L2820" s="134">
        <v>0.1792</v>
      </c>
    </row>
    <row r="2821" spans="3:12">
      <c r="C2821" s="161">
        <f t="shared" si="183"/>
        <v>2018</v>
      </c>
      <c r="D2821" s="35" t="s">
        <v>302</v>
      </c>
      <c r="E2821" s="227">
        <v>43221</v>
      </c>
      <c r="F2821" s="156">
        <v>1061495.7</v>
      </c>
      <c r="G2821" s="131">
        <f t="shared" si="184"/>
        <v>190220.02943999998</v>
      </c>
      <c r="H2821" s="156">
        <v>1503.68</v>
      </c>
      <c r="I2821" s="156">
        <v>2835.74</v>
      </c>
      <c r="J2821" s="156">
        <v>0</v>
      </c>
      <c r="K2821" s="131">
        <f t="shared" si="185"/>
        <v>4339.42</v>
      </c>
      <c r="L2821" s="134">
        <v>0.1792</v>
      </c>
    </row>
    <row r="2822" spans="3:12">
      <c r="C2822" s="161">
        <f t="shared" si="183"/>
        <v>2018</v>
      </c>
      <c r="D2822" s="35" t="s">
        <v>302</v>
      </c>
      <c r="E2822" s="227">
        <v>43252</v>
      </c>
      <c r="F2822" s="156">
        <v>968294.93</v>
      </c>
      <c r="G2822" s="131">
        <f t="shared" si="184"/>
        <v>173518.45145600001</v>
      </c>
      <c r="H2822" s="156">
        <v>214533.86</v>
      </c>
      <c r="I2822" s="156">
        <v>560860.11</v>
      </c>
      <c r="J2822" s="156">
        <v>0</v>
      </c>
      <c r="K2822" s="131">
        <f t="shared" si="185"/>
        <v>775393.97</v>
      </c>
      <c r="L2822" s="134">
        <v>0.1792</v>
      </c>
    </row>
    <row r="2823" spans="3:12">
      <c r="C2823" s="161">
        <f t="shared" si="183"/>
        <v>2018</v>
      </c>
      <c r="D2823" s="35" t="s">
        <v>302</v>
      </c>
      <c r="E2823" s="227">
        <v>43282</v>
      </c>
      <c r="F2823" s="156">
        <v>1038829.34</v>
      </c>
      <c r="G2823" s="131">
        <f t="shared" si="184"/>
        <v>186158.21772799999</v>
      </c>
      <c r="H2823" s="156">
        <v>387197.06</v>
      </c>
      <c r="I2823" s="156">
        <v>2758.76</v>
      </c>
      <c r="J2823" s="156">
        <v>0</v>
      </c>
      <c r="K2823" s="131">
        <f t="shared" si="185"/>
        <v>389955.82</v>
      </c>
      <c r="L2823" s="134">
        <v>0.1792</v>
      </c>
    </row>
    <row r="2824" spans="3:12">
      <c r="C2824" s="161">
        <f t="shared" si="183"/>
        <v>2018</v>
      </c>
      <c r="D2824" s="35" t="s">
        <v>302</v>
      </c>
      <c r="E2824" s="227">
        <v>43313</v>
      </c>
      <c r="F2824" s="156">
        <v>1028579.78</v>
      </c>
      <c r="G2824" s="131">
        <f t="shared" si="184"/>
        <v>184321.49657600001</v>
      </c>
      <c r="H2824" s="156">
        <v>609312.35</v>
      </c>
      <c r="I2824" s="156">
        <v>27890.75</v>
      </c>
      <c r="J2824" s="156">
        <v>0</v>
      </c>
      <c r="K2824" s="131">
        <f t="shared" si="185"/>
        <v>637203.1</v>
      </c>
      <c r="L2824" s="134">
        <v>0.1792</v>
      </c>
    </row>
    <row r="2825" spans="3:12">
      <c r="C2825" s="161">
        <f t="shared" si="183"/>
        <v>2018</v>
      </c>
      <c r="D2825" s="35" t="s">
        <v>302</v>
      </c>
      <c r="E2825" s="227">
        <v>43344</v>
      </c>
      <c r="F2825" s="156">
        <v>1024897.64</v>
      </c>
      <c r="G2825" s="131">
        <f t="shared" si="184"/>
        <v>183661.65708800001</v>
      </c>
      <c r="H2825" s="156">
        <v>637260.01</v>
      </c>
      <c r="I2825" s="156">
        <v>259138.42</v>
      </c>
      <c r="J2825" s="156">
        <v>29890.5</v>
      </c>
      <c r="K2825" s="131">
        <f t="shared" si="185"/>
        <v>926288.93</v>
      </c>
      <c r="L2825" s="134">
        <v>0.1792</v>
      </c>
    </row>
    <row r="2826" spans="3:12">
      <c r="C2826" s="161">
        <f t="shared" si="183"/>
        <v>2018</v>
      </c>
      <c r="D2826" s="35" t="s">
        <v>302</v>
      </c>
      <c r="E2826" s="227">
        <v>43374</v>
      </c>
      <c r="F2826" s="156">
        <v>1071988.72</v>
      </c>
      <c r="G2826" s="131">
        <f t="shared" si="184"/>
        <v>192100.378624</v>
      </c>
      <c r="H2826" s="156">
        <v>2000955.34</v>
      </c>
      <c r="I2826" s="156">
        <v>16.579999999999998</v>
      </c>
      <c r="J2826" s="156">
        <v>0</v>
      </c>
      <c r="K2826" s="131">
        <f t="shared" si="185"/>
        <v>2000971.9200000002</v>
      </c>
      <c r="L2826" s="134">
        <v>0.1792</v>
      </c>
    </row>
    <row r="2827" spans="3:12">
      <c r="C2827" s="161">
        <f t="shared" si="183"/>
        <v>2018</v>
      </c>
      <c r="D2827" s="35" t="s">
        <v>302</v>
      </c>
      <c r="E2827" s="227">
        <v>43405</v>
      </c>
      <c r="F2827" s="156">
        <v>1102632.601125</v>
      </c>
      <c r="G2827" s="131">
        <f t="shared" si="184"/>
        <v>197591.76212160001</v>
      </c>
      <c r="H2827" s="156">
        <v>510775.36</v>
      </c>
      <c r="I2827" s="156">
        <v>17.690000000000001</v>
      </c>
      <c r="J2827" s="156">
        <v>43222.5</v>
      </c>
      <c r="K2827" s="131">
        <f t="shared" si="185"/>
        <v>554015.55000000005</v>
      </c>
      <c r="L2827" s="134">
        <v>0.1792</v>
      </c>
    </row>
    <row r="2828" spans="3:12">
      <c r="C2828" s="161">
        <f t="shared" si="183"/>
        <v>2018</v>
      </c>
      <c r="D2828" s="35" t="s">
        <v>302</v>
      </c>
      <c r="E2828" s="227">
        <v>43435</v>
      </c>
      <c r="F2828" s="156">
        <v>1126704.67</v>
      </c>
      <c r="G2828" s="131">
        <f t="shared" si="184"/>
        <v>201905.476864</v>
      </c>
      <c r="H2828" s="156">
        <v>110705.77</v>
      </c>
      <c r="I2828" s="156">
        <v>548062.17000000004</v>
      </c>
      <c r="J2828" s="156">
        <v>0</v>
      </c>
      <c r="K2828" s="131">
        <f t="shared" si="185"/>
        <v>658767.94000000006</v>
      </c>
      <c r="L2828" s="134">
        <v>0.1792</v>
      </c>
    </row>
    <row r="2829" spans="3:12">
      <c r="C2829" s="161">
        <f t="shared" si="183"/>
        <v>2019</v>
      </c>
      <c r="D2829" s="35" t="s">
        <v>302</v>
      </c>
      <c r="E2829" s="227">
        <v>43466</v>
      </c>
      <c r="F2829" s="156">
        <v>1080947.31</v>
      </c>
      <c r="G2829" s="131">
        <f t="shared" si="184"/>
        <v>193705.75795200001</v>
      </c>
      <c r="H2829" s="156">
        <v>145354.65</v>
      </c>
      <c r="I2829" s="156">
        <v>235282.28</v>
      </c>
      <c r="J2829" s="156">
        <v>2277.66</v>
      </c>
      <c r="K2829" s="131">
        <f t="shared" si="185"/>
        <v>382914.58999999997</v>
      </c>
      <c r="L2829" s="134">
        <v>0.1792</v>
      </c>
    </row>
    <row r="2830" spans="3:12">
      <c r="C2830" s="161">
        <f t="shared" si="183"/>
        <v>2019</v>
      </c>
      <c r="D2830" s="35" t="s">
        <v>302</v>
      </c>
      <c r="E2830" s="227">
        <v>43497</v>
      </c>
      <c r="F2830" s="156">
        <v>1133481.29</v>
      </c>
      <c r="G2830" s="131">
        <f t="shared" si="184"/>
        <v>203119.84716800001</v>
      </c>
      <c r="H2830" s="156">
        <v>1001873.66</v>
      </c>
      <c r="I2830" s="156">
        <v>236548.4</v>
      </c>
      <c r="J2830" s="156">
        <v>1607.58</v>
      </c>
      <c r="K2830" s="131">
        <f t="shared" si="185"/>
        <v>1240029.6400000001</v>
      </c>
      <c r="L2830" s="134">
        <v>0.1792</v>
      </c>
    </row>
    <row r="2831" spans="3:12">
      <c r="C2831" s="161">
        <f t="shared" si="183"/>
        <v>2019</v>
      </c>
      <c r="D2831" s="35" t="s">
        <v>302</v>
      </c>
      <c r="E2831" s="227">
        <v>43525</v>
      </c>
      <c r="F2831" s="156">
        <v>986336.18</v>
      </c>
      <c r="G2831" s="131">
        <f t="shared" si="184"/>
        <v>176751.44345600001</v>
      </c>
      <c r="H2831" s="156">
        <v>251876.49</v>
      </c>
      <c r="I2831" s="156">
        <v>449888.92</v>
      </c>
      <c r="J2831" s="156">
        <v>768.75</v>
      </c>
      <c r="K2831" s="131">
        <f t="shared" si="185"/>
        <v>702534.15999999992</v>
      </c>
      <c r="L2831" s="134">
        <v>0.1792</v>
      </c>
    </row>
    <row r="2832" spans="3:12">
      <c r="C2832" s="161">
        <f t="shared" si="183"/>
        <v>2019</v>
      </c>
      <c r="D2832" s="35" t="s">
        <v>302</v>
      </c>
      <c r="E2832" s="227">
        <v>43556</v>
      </c>
      <c r="F2832" s="156">
        <v>1114825.47</v>
      </c>
      <c r="G2832" s="131">
        <f t="shared" si="184"/>
        <v>199776.72422400001</v>
      </c>
      <c r="H2832" s="156">
        <v>190945.74</v>
      </c>
      <c r="I2832" s="156">
        <v>151908.74</v>
      </c>
      <c r="J2832" s="156">
        <v>4099.12</v>
      </c>
      <c r="K2832" s="131">
        <f t="shared" si="185"/>
        <v>346953.6</v>
      </c>
      <c r="L2832" s="134">
        <v>0.1792</v>
      </c>
    </row>
    <row r="2833" spans="3:12">
      <c r="C2833" s="161">
        <f t="shared" si="183"/>
        <v>2019</v>
      </c>
      <c r="D2833" s="35" t="s">
        <v>302</v>
      </c>
      <c r="E2833" s="227">
        <v>43586</v>
      </c>
      <c r="F2833" s="156">
        <v>1020852.52</v>
      </c>
      <c r="G2833" s="131">
        <f t="shared" si="184"/>
        <v>182936.771584</v>
      </c>
      <c r="H2833" s="156">
        <v>113916.17</v>
      </c>
      <c r="I2833" s="156">
        <v>1327098.96</v>
      </c>
      <c r="J2833" s="156">
        <v>0</v>
      </c>
      <c r="K2833" s="131">
        <f t="shared" si="185"/>
        <v>1441015.13</v>
      </c>
      <c r="L2833" s="134">
        <v>0.1792</v>
      </c>
    </row>
    <row r="2834" spans="3:12">
      <c r="C2834" s="161">
        <f t="shared" si="183"/>
        <v>2019</v>
      </c>
      <c r="D2834" s="35" t="s">
        <v>302</v>
      </c>
      <c r="E2834" s="227">
        <v>43617</v>
      </c>
      <c r="F2834" s="156">
        <v>1058200.8</v>
      </c>
      <c r="G2834" s="131">
        <f t="shared" si="184"/>
        <v>189629.58336000002</v>
      </c>
      <c r="H2834" s="156">
        <v>164118.53</v>
      </c>
      <c r="I2834" s="156">
        <v>641700.13</v>
      </c>
      <c r="J2834" s="156">
        <v>510</v>
      </c>
      <c r="K2834" s="131">
        <f t="shared" si="185"/>
        <v>806328.66</v>
      </c>
      <c r="L2834" s="134">
        <v>0.1792</v>
      </c>
    </row>
    <row r="2835" spans="3:12">
      <c r="C2835" s="161">
        <f t="shared" si="183"/>
        <v>2019</v>
      </c>
      <c r="D2835" s="35" t="s">
        <v>302</v>
      </c>
      <c r="E2835" s="227">
        <v>43647</v>
      </c>
      <c r="F2835" s="156">
        <v>1038068.22</v>
      </c>
      <c r="G2835" s="131">
        <f t="shared" si="184"/>
        <v>186021.82502399999</v>
      </c>
      <c r="H2835" s="156">
        <v>399347.73</v>
      </c>
      <c r="I2835" s="156">
        <v>184290.47</v>
      </c>
      <c r="J2835" s="156">
        <v>0</v>
      </c>
      <c r="K2835" s="131">
        <f t="shared" si="185"/>
        <v>583638.19999999995</v>
      </c>
      <c r="L2835" s="134">
        <v>0.1792</v>
      </c>
    </row>
    <row r="2836" spans="3:12">
      <c r="C2836" s="161">
        <f t="shared" si="183"/>
        <v>2019</v>
      </c>
      <c r="D2836" s="35" t="s">
        <v>302</v>
      </c>
      <c r="E2836" s="227">
        <v>43678</v>
      </c>
      <c r="F2836" s="156">
        <v>1159658.3400000001</v>
      </c>
      <c r="G2836" s="131">
        <f t="shared" si="184"/>
        <v>207810.77452800001</v>
      </c>
      <c r="H2836" s="156">
        <v>121693.55</v>
      </c>
      <c r="I2836" s="156">
        <v>640255.48</v>
      </c>
      <c r="J2836" s="156">
        <v>0</v>
      </c>
      <c r="K2836" s="131">
        <f t="shared" si="185"/>
        <v>761949.03</v>
      </c>
      <c r="L2836" s="134">
        <v>0.1792</v>
      </c>
    </row>
    <row r="2837" spans="3:12">
      <c r="C2837" s="161">
        <f t="shared" si="183"/>
        <v>2019</v>
      </c>
      <c r="D2837" s="35" t="s">
        <v>302</v>
      </c>
      <c r="E2837" s="227">
        <v>43709</v>
      </c>
      <c r="F2837" s="156">
        <v>1289847.26</v>
      </c>
      <c r="G2837" s="131">
        <f t="shared" si="184"/>
        <v>231140.62899200001</v>
      </c>
      <c r="H2837" s="156">
        <v>66710.759999999995</v>
      </c>
      <c r="I2837" s="156">
        <v>30138.04</v>
      </c>
      <c r="J2837" s="156">
        <v>0</v>
      </c>
      <c r="K2837" s="131">
        <f t="shared" si="185"/>
        <v>96848.799999999988</v>
      </c>
      <c r="L2837" s="134">
        <v>0.1792</v>
      </c>
    </row>
    <row r="2838" spans="3:12">
      <c r="C2838" s="161">
        <f t="shared" si="183"/>
        <v>2019</v>
      </c>
      <c r="D2838" s="35" t="s">
        <v>302</v>
      </c>
      <c r="E2838" s="227">
        <v>43739</v>
      </c>
      <c r="F2838" s="156">
        <v>1204564.6100000001</v>
      </c>
      <c r="G2838" s="131">
        <f t="shared" si="184"/>
        <v>215857.97811200001</v>
      </c>
      <c r="H2838" s="156">
        <v>6512.99</v>
      </c>
      <c r="I2838" s="156">
        <v>26181.81</v>
      </c>
      <c r="J2838" s="156">
        <v>0</v>
      </c>
      <c r="K2838" s="131">
        <f t="shared" si="185"/>
        <v>32694.800000000003</v>
      </c>
      <c r="L2838" s="134">
        <v>0.1792</v>
      </c>
    </row>
    <row r="2839" spans="3:12">
      <c r="C2839" s="161">
        <f t="shared" si="183"/>
        <v>2019</v>
      </c>
      <c r="D2839" s="35" t="s">
        <v>302</v>
      </c>
      <c r="E2839" s="227">
        <v>43770</v>
      </c>
      <c r="F2839" s="156">
        <v>1284459.76</v>
      </c>
      <c r="G2839" s="131">
        <f t="shared" si="184"/>
        <v>230175.18899200001</v>
      </c>
      <c r="H2839" s="156">
        <v>2955.63</v>
      </c>
      <c r="I2839" s="156">
        <v>27456.61</v>
      </c>
      <c r="J2839" s="156">
        <v>0</v>
      </c>
      <c r="K2839" s="131">
        <f t="shared" si="185"/>
        <v>30412.240000000002</v>
      </c>
      <c r="L2839" s="134">
        <v>0.1792</v>
      </c>
    </row>
    <row r="2840" spans="3:12">
      <c r="C2840" s="161">
        <f t="shared" si="183"/>
        <v>2019</v>
      </c>
      <c r="D2840" s="35" t="s">
        <v>302</v>
      </c>
      <c r="E2840" s="227">
        <v>43800</v>
      </c>
      <c r="F2840" s="156">
        <v>1197600.0900000001</v>
      </c>
      <c r="G2840" s="131">
        <f t="shared" si="184"/>
        <v>214609.936128</v>
      </c>
      <c r="H2840" s="156">
        <v>4056.99</v>
      </c>
      <c r="I2840" s="156">
        <v>18257.400000000001</v>
      </c>
      <c r="J2840" s="156">
        <v>0</v>
      </c>
      <c r="K2840" s="131">
        <f t="shared" si="185"/>
        <v>22314.39</v>
      </c>
      <c r="L2840" s="134">
        <v>0.1792</v>
      </c>
    </row>
    <row r="2841" spans="3:12">
      <c r="C2841" s="161">
        <f t="shared" si="183"/>
        <v>2020</v>
      </c>
      <c r="D2841" s="35" t="s">
        <v>302</v>
      </c>
      <c r="E2841" s="227">
        <v>43831</v>
      </c>
      <c r="F2841" s="156">
        <v>1168251.25</v>
      </c>
      <c r="G2841" s="131">
        <f t="shared" si="184"/>
        <v>209350.62400000001</v>
      </c>
      <c r="H2841" s="156">
        <v>43323.66</v>
      </c>
      <c r="I2841" s="156">
        <v>22575.77</v>
      </c>
      <c r="J2841" s="156">
        <v>0</v>
      </c>
      <c r="K2841" s="131">
        <f t="shared" si="185"/>
        <v>65899.430000000008</v>
      </c>
      <c r="L2841" s="134">
        <v>0.1792</v>
      </c>
    </row>
    <row r="2842" spans="3:12">
      <c r="C2842" s="161">
        <f t="shared" si="183"/>
        <v>2020</v>
      </c>
      <c r="D2842" s="35" t="s">
        <v>302</v>
      </c>
      <c r="E2842" s="227">
        <v>43862</v>
      </c>
      <c r="F2842" s="156">
        <v>1179159.72</v>
      </c>
      <c r="G2842" s="131">
        <f t="shared" si="184"/>
        <v>211305.42182399999</v>
      </c>
      <c r="H2842" s="156">
        <v>11804.3</v>
      </c>
      <c r="I2842" s="156">
        <v>19717.84</v>
      </c>
      <c r="J2842" s="156">
        <v>1995</v>
      </c>
      <c r="K2842" s="131">
        <f t="shared" si="185"/>
        <v>33517.14</v>
      </c>
      <c r="L2842" s="134">
        <v>0.1792</v>
      </c>
    </row>
    <row r="2843" spans="3:12">
      <c r="C2843" s="161">
        <f t="shared" si="183"/>
        <v>2020</v>
      </c>
      <c r="D2843" s="35" t="s">
        <v>302</v>
      </c>
      <c r="E2843" s="227">
        <v>43891</v>
      </c>
      <c r="F2843" s="156">
        <v>1168272.656925</v>
      </c>
      <c r="G2843" s="131">
        <f t="shared" si="184"/>
        <v>209354.46012095999</v>
      </c>
      <c r="H2843" s="156">
        <v>89154.86</v>
      </c>
      <c r="I2843" s="156">
        <v>23007.9</v>
      </c>
      <c r="J2843" s="156">
        <v>0</v>
      </c>
      <c r="K2843" s="131">
        <f t="shared" si="185"/>
        <v>112162.76000000001</v>
      </c>
      <c r="L2843" s="134">
        <v>0.1792</v>
      </c>
    </row>
    <row r="2844" spans="3:12">
      <c r="C2844" s="161">
        <f t="shared" si="183"/>
        <v>2020</v>
      </c>
      <c r="D2844" s="35" t="s">
        <v>302</v>
      </c>
      <c r="E2844" s="227">
        <v>43922</v>
      </c>
      <c r="F2844" s="156">
        <v>1183755.9863249999</v>
      </c>
      <c r="G2844" s="131">
        <f t="shared" si="184"/>
        <v>212129.07274943998</v>
      </c>
      <c r="H2844" s="156">
        <v>42406.25</v>
      </c>
      <c r="I2844" s="156">
        <v>165836.91</v>
      </c>
      <c r="J2844" s="156">
        <v>0</v>
      </c>
      <c r="K2844" s="131">
        <f t="shared" si="185"/>
        <v>208243.16</v>
      </c>
      <c r="L2844" s="134">
        <v>0.1792</v>
      </c>
    </row>
    <row r="2845" spans="3:12">
      <c r="C2845" s="161">
        <f t="shared" si="183"/>
        <v>2020</v>
      </c>
      <c r="D2845" s="35" t="s">
        <v>302</v>
      </c>
      <c r="E2845" s="227">
        <v>43952</v>
      </c>
      <c r="F2845" s="156">
        <v>1123262.23</v>
      </c>
      <c r="G2845" s="131">
        <f t="shared" si="184"/>
        <v>201288.59161599999</v>
      </c>
      <c r="H2845" s="156">
        <v>25049.42</v>
      </c>
      <c r="I2845" s="156">
        <v>22210.42</v>
      </c>
      <c r="J2845" s="156">
        <v>2980</v>
      </c>
      <c r="K2845" s="131">
        <f t="shared" si="185"/>
        <v>50239.839999999997</v>
      </c>
      <c r="L2845" s="134">
        <v>0.1792</v>
      </c>
    </row>
    <row r="2846" spans="3:12">
      <c r="C2846" s="161">
        <f t="shared" si="183"/>
        <v>2020</v>
      </c>
      <c r="D2846" s="35" t="s">
        <v>302</v>
      </c>
      <c r="E2846" s="227">
        <v>43983</v>
      </c>
      <c r="F2846" s="156">
        <v>1068153.33</v>
      </c>
      <c r="G2846" s="131">
        <f t="shared" si="184"/>
        <v>191413.07673600002</v>
      </c>
      <c r="H2846" s="156">
        <v>27973.599999999999</v>
      </c>
      <c r="I2846" s="156">
        <v>27678.01</v>
      </c>
      <c r="J2846" s="156">
        <v>0</v>
      </c>
      <c r="K2846" s="131">
        <f t="shared" si="185"/>
        <v>55651.61</v>
      </c>
      <c r="L2846" s="134">
        <v>0.1792</v>
      </c>
    </row>
    <row r="2847" spans="3:12">
      <c r="C2847" s="161">
        <f t="shared" si="183"/>
        <v>2020</v>
      </c>
      <c r="D2847" s="35" t="s">
        <v>302</v>
      </c>
      <c r="E2847" s="227">
        <v>44013</v>
      </c>
      <c r="F2847" s="156">
        <v>1075781.26</v>
      </c>
      <c r="G2847" s="131">
        <f t="shared" si="184"/>
        <v>192780.001792</v>
      </c>
      <c r="H2847" s="156">
        <v>5690.09</v>
      </c>
      <c r="I2847" s="156">
        <v>30488.5</v>
      </c>
      <c r="J2847" s="156">
        <v>0</v>
      </c>
      <c r="K2847" s="131">
        <f t="shared" si="185"/>
        <v>36178.589999999997</v>
      </c>
      <c r="L2847" s="134">
        <v>0.1792</v>
      </c>
    </row>
    <row r="2848" spans="3:12">
      <c r="C2848" s="161">
        <f t="shared" si="183"/>
        <v>2020</v>
      </c>
      <c r="D2848" s="35" t="s">
        <v>302</v>
      </c>
      <c r="E2848" s="227">
        <v>44044</v>
      </c>
      <c r="F2848" s="156">
        <v>1170450.81</v>
      </c>
      <c r="G2848" s="131">
        <f t="shared" si="184"/>
        <v>209744.785152</v>
      </c>
      <c r="H2848" s="156">
        <v>6825.94</v>
      </c>
      <c r="I2848" s="156">
        <v>99608.13</v>
      </c>
      <c r="J2848" s="156">
        <v>0</v>
      </c>
      <c r="K2848" s="131">
        <f t="shared" si="185"/>
        <v>106434.07</v>
      </c>
      <c r="L2848" s="134">
        <v>0.1792</v>
      </c>
    </row>
    <row r="2849" spans="3:12">
      <c r="C2849" s="161">
        <f t="shared" si="183"/>
        <v>2020</v>
      </c>
      <c r="D2849" s="35" t="s">
        <v>302</v>
      </c>
      <c r="E2849" s="227">
        <v>44075</v>
      </c>
      <c r="F2849" s="156">
        <v>1273124.51</v>
      </c>
      <c r="G2849" s="131">
        <f t="shared" si="184"/>
        <v>228143.91219199999</v>
      </c>
      <c r="H2849" s="156">
        <v>27223.74</v>
      </c>
      <c r="I2849" s="156">
        <v>150833.26999999999</v>
      </c>
      <c r="J2849" s="156">
        <v>0</v>
      </c>
      <c r="K2849" s="131">
        <f t="shared" si="185"/>
        <v>178057.00999999998</v>
      </c>
      <c r="L2849" s="134">
        <v>0.1792</v>
      </c>
    </row>
    <row r="2850" spans="3:12">
      <c r="C2850" s="161">
        <f t="shared" si="183"/>
        <v>2020</v>
      </c>
      <c r="D2850" s="35" t="s">
        <v>302</v>
      </c>
      <c r="E2850" s="227">
        <v>44105</v>
      </c>
      <c r="F2850" s="156">
        <v>1355128.47</v>
      </c>
      <c r="G2850" s="131">
        <f t="shared" si="184"/>
        <v>242839.021824</v>
      </c>
      <c r="H2850" s="156">
        <v>18112.36</v>
      </c>
      <c r="I2850" s="156">
        <v>264914.48</v>
      </c>
      <c r="J2850" s="156">
        <v>0</v>
      </c>
      <c r="K2850" s="131">
        <f t="shared" si="185"/>
        <v>283026.83999999997</v>
      </c>
      <c r="L2850" s="134">
        <v>0.1792</v>
      </c>
    </row>
    <row r="2851" spans="3:12">
      <c r="C2851" s="161">
        <f t="shared" si="183"/>
        <v>2020</v>
      </c>
      <c r="D2851" s="35" t="s">
        <v>302</v>
      </c>
      <c r="E2851" s="227">
        <v>44136</v>
      </c>
      <c r="F2851" s="156">
        <v>1242179.53</v>
      </c>
      <c r="G2851" s="131">
        <f t="shared" si="184"/>
        <v>222598.571776</v>
      </c>
      <c r="H2851" s="156">
        <v>30038.48</v>
      </c>
      <c r="I2851" s="156">
        <v>231145.76</v>
      </c>
      <c r="J2851" s="156">
        <v>0</v>
      </c>
      <c r="K2851" s="131">
        <f t="shared" si="185"/>
        <v>261184.24000000002</v>
      </c>
      <c r="L2851" s="134">
        <v>0.1792</v>
      </c>
    </row>
    <row r="2852" spans="3:12">
      <c r="C2852" s="161">
        <f t="shared" si="183"/>
        <v>2020</v>
      </c>
      <c r="D2852" s="35" t="s">
        <v>302</v>
      </c>
      <c r="E2852" s="227">
        <v>44166</v>
      </c>
      <c r="F2852" s="156">
        <v>1263728.95</v>
      </c>
      <c r="G2852" s="131">
        <f t="shared" si="184"/>
        <v>226460.22783999998</v>
      </c>
      <c r="H2852" s="156">
        <v>2490.91</v>
      </c>
      <c r="I2852" s="156">
        <v>229665.53</v>
      </c>
      <c r="J2852" s="156">
        <v>446.68</v>
      </c>
      <c r="K2852" s="131">
        <f t="shared" si="185"/>
        <v>232603.12</v>
      </c>
      <c r="L2852" s="134">
        <v>0.1792</v>
      </c>
    </row>
    <row r="2853" spans="3:12">
      <c r="C2853" s="161">
        <f t="shared" si="183"/>
        <v>2021</v>
      </c>
      <c r="D2853" s="35" t="s">
        <v>302</v>
      </c>
      <c r="E2853" s="227">
        <v>44197</v>
      </c>
      <c r="F2853" s="156">
        <v>1282523.6599999999</v>
      </c>
      <c r="G2853" s="131">
        <f t="shared" si="184"/>
        <v>229828.23987199998</v>
      </c>
      <c r="H2853" s="156">
        <v>4356.37</v>
      </c>
      <c r="I2853" s="156">
        <v>125802.46</v>
      </c>
      <c r="J2853" s="156">
        <v>0</v>
      </c>
      <c r="K2853" s="131">
        <f t="shared" si="185"/>
        <v>130158.83</v>
      </c>
      <c r="L2853" s="134">
        <v>0.1792</v>
      </c>
    </row>
    <row r="2854" spans="3:12">
      <c r="C2854" s="161">
        <f t="shared" si="183"/>
        <v>2021</v>
      </c>
      <c r="D2854" s="35" t="s">
        <v>302</v>
      </c>
      <c r="E2854" s="227">
        <v>44229</v>
      </c>
      <c r="F2854" s="156">
        <v>1217123.68</v>
      </c>
      <c r="G2854" s="131">
        <f t="shared" si="184"/>
        <v>218108.56345599997</v>
      </c>
      <c r="H2854" s="156">
        <v>7248.7</v>
      </c>
      <c r="I2854" s="156">
        <v>169656.5</v>
      </c>
      <c r="J2854" s="156">
        <v>0</v>
      </c>
      <c r="K2854" s="131">
        <f t="shared" si="185"/>
        <v>176905.2</v>
      </c>
      <c r="L2854" s="134">
        <v>0.1792</v>
      </c>
    </row>
    <row r="2855" spans="3:12">
      <c r="C2855" s="161">
        <f t="shared" si="183"/>
        <v>2021</v>
      </c>
      <c r="D2855" s="35" t="s">
        <v>302</v>
      </c>
      <c r="E2855" s="227">
        <v>44258</v>
      </c>
      <c r="F2855" s="156">
        <v>1153775.23</v>
      </c>
      <c r="G2855" s="131">
        <f t="shared" si="184"/>
        <v>206756.52121599999</v>
      </c>
      <c r="H2855" s="156">
        <v>3544.98</v>
      </c>
      <c r="I2855" s="156">
        <v>163507.97</v>
      </c>
      <c r="J2855" s="156">
        <v>0</v>
      </c>
      <c r="K2855" s="131">
        <f t="shared" si="185"/>
        <v>167052.95000000001</v>
      </c>
      <c r="L2855" s="134">
        <v>0.1792</v>
      </c>
    </row>
    <row r="2856" spans="3:12">
      <c r="C2856" s="161">
        <f t="shared" si="183"/>
        <v>2021</v>
      </c>
      <c r="D2856" s="35" t="s">
        <v>302</v>
      </c>
      <c r="E2856" s="227">
        <v>44290</v>
      </c>
      <c r="F2856" s="156">
        <v>1303435.25</v>
      </c>
      <c r="G2856" s="131">
        <f t="shared" si="184"/>
        <v>233575.5968</v>
      </c>
      <c r="H2856" s="156">
        <v>17675.8</v>
      </c>
      <c r="I2856" s="156">
        <v>116112.28</v>
      </c>
      <c r="J2856" s="156">
        <v>0</v>
      </c>
      <c r="K2856" s="131">
        <f t="shared" si="185"/>
        <v>133788.07999999999</v>
      </c>
      <c r="L2856" s="134">
        <v>0.1792</v>
      </c>
    </row>
    <row r="2857" spans="3:12">
      <c r="C2857" s="161">
        <f t="shared" si="183"/>
        <v>2021</v>
      </c>
      <c r="D2857" s="35" t="s">
        <v>302</v>
      </c>
      <c r="E2857" s="227">
        <v>44321</v>
      </c>
      <c r="F2857" s="156">
        <v>1197232.6499999999</v>
      </c>
      <c r="G2857" s="131">
        <f t="shared" si="184"/>
        <v>214544.09087999997</v>
      </c>
      <c r="H2857" s="156">
        <v>16060.5</v>
      </c>
      <c r="I2857" s="156">
        <v>140449.79999999999</v>
      </c>
      <c r="J2857" s="156">
        <v>0</v>
      </c>
      <c r="K2857" s="131">
        <f t="shared" si="185"/>
        <v>156510.29999999999</v>
      </c>
      <c r="L2857" s="134">
        <v>0.1792</v>
      </c>
    </row>
    <row r="2858" spans="3:12">
      <c r="C2858" s="161">
        <f t="shared" si="183"/>
        <v>2021</v>
      </c>
      <c r="D2858" s="35" t="s">
        <v>302</v>
      </c>
      <c r="E2858" s="227">
        <v>44353</v>
      </c>
      <c r="F2858" s="156">
        <v>1193965.1399999999</v>
      </c>
      <c r="G2858" s="131">
        <f t="shared" si="184"/>
        <v>213958.55308799999</v>
      </c>
      <c r="H2858" s="156">
        <v>30846.47</v>
      </c>
      <c r="I2858" s="156">
        <v>355185.37</v>
      </c>
      <c r="J2858" s="156">
        <v>0</v>
      </c>
      <c r="K2858" s="131">
        <f t="shared" si="185"/>
        <v>386031.83999999997</v>
      </c>
      <c r="L2858" s="134">
        <v>0.1792</v>
      </c>
    </row>
    <row r="2859" spans="3:12">
      <c r="C2859" s="161">
        <f t="shared" si="183"/>
        <v>2015</v>
      </c>
      <c r="D2859" s="35" t="s">
        <v>303</v>
      </c>
      <c r="E2859" s="227">
        <v>42309</v>
      </c>
      <c r="F2859" s="156">
        <v>460231.29</v>
      </c>
      <c r="G2859" s="131">
        <f t="shared" si="184"/>
        <v>82473.447167999999</v>
      </c>
      <c r="H2859" s="156">
        <v>3573.83</v>
      </c>
      <c r="I2859" s="156">
        <v>3942.02</v>
      </c>
      <c r="J2859" s="156">
        <v>0</v>
      </c>
      <c r="K2859" s="131">
        <f t="shared" si="185"/>
        <v>7515.85</v>
      </c>
      <c r="L2859" s="134">
        <v>0.1792</v>
      </c>
    </row>
    <row r="2860" spans="3:12">
      <c r="C2860" s="161">
        <f t="shared" si="183"/>
        <v>2015</v>
      </c>
      <c r="D2860" s="35" t="s">
        <v>303</v>
      </c>
      <c r="E2860" s="227">
        <v>42339</v>
      </c>
      <c r="F2860" s="156">
        <v>416012.23</v>
      </c>
      <c r="G2860" s="131">
        <f t="shared" si="184"/>
        <v>74549.391615999994</v>
      </c>
      <c r="H2860" s="156">
        <v>2749.5</v>
      </c>
      <c r="I2860" s="156">
        <v>1458.99</v>
      </c>
      <c r="J2860" s="156">
        <v>0</v>
      </c>
      <c r="K2860" s="131">
        <f t="shared" si="185"/>
        <v>4208.49</v>
      </c>
      <c r="L2860" s="134">
        <v>0.1792</v>
      </c>
    </row>
    <row r="2861" spans="3:12">
      <c r="C2861" s="161">
        <f t="shared" si="183"/>
        <v>2016</v>
      </c>
      <c r="D2861" s="35" t="s">
        <v>303</v>
      </c>
      <c r="E2861" s="227">
        <v>42370</v>
      </c>
      <c r="F2861" s="156">
        <v>423203.26</v>
      </c>
      <c r="G2861" s="131">
        <f t="shared" si="184"/>
        <v>75838.024191999997</v>
      </c>
      <c r="H2861" s="156">
        <v>1068.93</v>
      </c>
      <c r="I2861" s="156">
        <v>0</v>
      </c>
      <c r="J2861" s="156">
        <v>0</v>
      </c>
      <c r="K2861" s="131">
        <f t="shared" si="185"/>
        <v>1068.93</v>
      </c>
      <c r="L2861" s="134">
        <v>0.1792</v>
      </c>
    </row>
    <row r="2862" spans="3:12">
      <c r="C2862" s="161">
        <f t="shared" si="183"/>
        <v>2016</v>
      </c>
      <c r="D2862" s="35" t="s">
        <v>303</v>
      </c>
      <c r="E2862" s="227">
        <v>42401</v>
      </c>
      <c r="F2862" s="156">
        <v>410084.07</v>
      </c>
      <c r="G2862" s="131">
        <f t="shared" si="184"/>
        <v>73487.065344000002</v>
      </c>
      <c r="H2862" s="156">
        <v>845.08</v>
      </c>
      <c r="I2862" s="156">
        <v>4479.3100000000004</v>
      </c>
      <c r="J2862" s="156">
        <v>0</v>
      </c>
      <c r="K2862" s="131">
        <f t="shared" si="185"/>
        <v>5324.39</v>
      </c>
      <c r="L2862" s="134">
        <v>0.1792</v>
      </c>
    </row>
    <row r="2863" spans="3:12">
      <c r="C2863" s="161">
        <f t="shared" si="183"/>
        <v>2016</v>
      </c>
      <c r="D2863" s="35" t="s">
        <v>303</v>
      </c>
      <c r="E2863" s="227">
        <v>42430</v>
      </c>
      <c r="F2863" s="156">
        <v>399801.78</v>
      </c>
      <c r="G2863" s="131">
        <f t="shared" si="184"/>
        <v>71644.478975999999</v>
      </c>
      <c r="H2863" s="156">
        <v>17166.38</v>
      </c>
      <c r="I2863" s="156">
        <v>0</v>
      </c>
      <c r="J2863" s="156">
        <v>0</v>
      </c>
      <c r="K2863" s="131">
        <f t="shared" si="185"/>
        <v>17166.38</v>
      </c>
      <c r="L2863" s="134">
        <v>0.1792</v>
      </c>
    </row>
    <row r="2864" spans="3:12">
      <c r="C2864" s="161">
        <f t="shared" si="183"/>
        <v>2016</v>
      </c>
      <c r="D2864" s="35" t="s">
        <v>303</v>
      </c>
      <c r="E2864" s="227">
        <v>42461</v>
      </c>
      <c r="F2864" s="156">
        <v>433442.94</v>
      </c>
      <c r="G2864" s="131">
        <f t="shared" si="184"/>
        <v>77672.974847999998</v>
      </c>
      <c r="H2864" s="156">
        <v>1112.25</v>
      </c>
      <c r="I2864" s="156">
        <v>0</v>
      </c>
      <c r="J2864" s="156">
        <v>0</v>
      </c>
      <c r="K2864" s="131">
        <f t="shared" si="185"/>
        <v>1112.25</v>
      </c>
      <c r="L2864" s="134">
        <v>0.1792</v>
      </c>
    </row>
    <row r="2865" spans="3:12">
      <c r="C2865" s="161">
        <f t="shared" si="183"/>
        <v>2016</v>
      </c>
      <c r="D2865" s="35" t="s">
        <v>303</v>
      </c>
      <c r="E2865" s="227">
        <v>42491</v>
      </c>
      <c r="F2865" s="156">
        <v>399948.21</v>
      </c>
      <c r="G2865" s="131">
        <f t="shared" si="184"/>
        <v>71670.719232000003</v>
      </c>
      <c r="H2865" s="156">
        <v>27944.44</v>
      </c>
      <c r="I2865" s="156">
        <v>3207.33</v>
      </c>
      <c r="J2865" s="156">
        <v>0</v>
      </c>
      <c r="K2865" s="131">
        <f t="shared" si="185"/>
        <v>31151.769999999997</v>
      </c>
      <c r="L2865" s="134">
        <v>0.1792</v>
      </c>
    </row>
    <row r="2866" spans="3:12">
      <c r="C2866" s="161">
        <f t="shared" si="183"/>
        <v>2016</v>
      </c>
      <c r="D2866" s="35" t="s">
        <v>303</v>
      </c>
      <c r="E2866" s="227">
        <v>42522</v>
      </c>
      <c r="F2866" s="156">
        <v>371007.34</v>
      </c>
      <c r="G2866" s="131">
        <f t="shared" si="184"/>
        <v>66484.515328000009</v>
      </c>
      <c r="H2866" s="156">
        <v>3923.54</v>
      </c>
      <c r="I2866" s="156">
        <v>1928.38</v>
      </c>
      <c r="J2866" s="156">
        <v>8275.35</v>
      </c>
      <c r="K2866" s="131">
        <f t="shared" si="185"/>
        <v>14127.27</v>
      </c>
      <c r="L2866" s="134">
        <v>0.1792</v>
      </c>
    </row>
    <row r="2867" spans="3:12">
      <c r="C2867" s="161">
        <f t="shared" si="183"/>
        <v>2016</v>
      </c>
      <c r="D2867" s="35" t="s">
        <v>303</v>
      </c>
      <c r="E2867" s="227">
        <v>42552</v>
      </c>
      <c r="F2867" s="156">
        <v>423110.17</v>
      </c>
      <c r="G2867" s="131">
        <f t="shared" si="184"/>
        <v>75821.342464000001</v>
      </c>
      <c r="H2867" s="156">
        <v>3089.77</v>
      </c>
      <c r="I2867" s="156">
        <v>135628.56</v>
      </c>
      <c r="J2867" s="156">
        <v>0</v>
      </c>
      <c r="K2867" s="131">
        <f t="shared" si="185"/>
        <v>138718.32999999999</v>
      </c>
      <c r="L2867" s="134">
        <v>0.1792</v>
      </c>
    </row>
    <row r="2868" spans="3:12">
      <c r="C2868" s="161">
        <f t="shared" si="183"/>
        <v>2016</v>
      </c>
      <c r="D2868" s="35" t="s">
        <v>303</v>
      </c>
      <c r="E2868" s="227">
        <v>42583</v>
      </c>
      <c r="F2868" s="156">
        <v>425392.75</v>
      </c>
      <c r="G2868" s="131">
        <f t="shared" si="184"/>
        <v>76230.380799999999</v>
      </c>
      <c r="H2868" s="156">
        <v>4384.6400000000003</v>
      </c>
      <c r="I2868" s="156">
        <v>195822.01</v>
      </c>
      <c r="J2868" s="156">
        <v>0</v>
      </c>
      <c r="K2868" s="131">
        <f t="shared" si="185"/>
        <v>200206.65000000002</v>
      </c>
      <c r="L2868" s="134">
        <v>0.1792</v>
      </c>
    </row>
    <row r="2869" spans="3:12">
      <c r="C2869" s="161">
        <f t="shared" si="183"/>
        <v>2016</v>
      </c>
      <c r="D2869" s="35" t="s">
        <v>303</v>
      </c>
      <c r="E2869" s="227">
        <v>42614</v>
      </c>
      <c r="F2869" s="156">
        <v>444736.61</v>
      </c>
      <c r="G2869" s="131">
        <f t="shared" si="184"/>
        <v>79696.800512000002</v>
      </c>
      <c r="H2869" s="156">
        <v>5032.9799999999996</v>
      </c>
      <c r="I2869" s="156">
        <v>124110.67</v>
      </c>
      <c r="J2869" s="156">
        <v>0</v>
      </c>
      <c r="K2869" s="131">
        <f t="shared" si="185"/>
        <v>129143.65</v>
      </c>
      <c r="L2869" s="134">
        <v>0.1792</v>
      </c>
    </row>
    <row r="2870" spans="3:12">
      <c r="C2870" s="161">
        <f t="shared" si="183"/>
        <v>2016</v>
      </c>
      <c r="D2870" s="35" t="s">
        <v>303</v>
      </c>
      <c r="E2870" s="227">
        <v>42644</v>
      </c>
      <c r="F2870" s="156">
        <v>468040.56</v>
      </c>
      <c r="G2870" s="131">
        <f t="shared" si="184"/>
        <v>83872.868352000005</v>
      </c>
      <c r="H2870" s="156">
        <v>31205.279999999999</v>
      </c>
      <c r="I2870" s="156">
        <v>301135.88</v>
      </c>
      <c r="J2870" s="156">
        <v>0</v>
      </c>
      <c r="K2870" s="131">
        <f t="shared" si="185"/>
        <v>332341.16000000003</v>
      </c>
      <c r="L2870" s="134">
        <v>0.1792</v>
      </c>
    </row>
    <row r="2871" spans="3:12">
      <c r="C2871" s="161">
        <f t="shared" si="183"/>
        <v>2016</v>
      </c>
      <c r="D2871" s="35" t="s">
        <v>303</v>
      </c>
      <c r="E2871" s="227">
        <v>42675</v>
      </c>
      <c r="F2871" s="156">
        <v>463906.62</v>
      </c>
      <c r="G2871" s="131">
        <f t="shared" si="184"/>
        <v>83132.066303999993</v>
      </c>
      <c r="H2871" s="156">
        <v>6930.5</v>
      </c>
      <c r="I2871" s="156">
        <v>171057.09</v>
      </c>
      <c r="J2871" s="156">
        <v>0</v>
      </c>
      <c r="K2871" s="131">
        <f t="shared" si="185"/>
        <v>177987.59</v>
      </c>
      <c r="L2871" s="134">
        <v>0.1792</v>
      </c>
    </row>
    <row r="2872" spans="3:12">
      <c r="C2872" s="161">
        <f t="shared" si="183"/>
        <v>2016</v>
      </c>
      <c r="D2872" s="35" t="s">
        <v>303</v>
      </c>
      <c r="E2872" s="227">
        <v>42705</v>
      </c>
      <c r="F2872" s="156">
        <v>469666.76</v>
      </c>
      <c r="G2872" s="131">
        <f t="shared" si="184"/>
        <v>84164.283391999998</v>
      </c>
      <c r="H2872" s="156">
        <v>4333.8900000000003</v>
      </c>
      <c r="I2872" s="156">
        <v>230307.73</v>
      </c>
      <c r="J2872" s="156">
        <v>0</v>
      </c>
      <c r="K2872" s="131">
        <f t="shared" si="185"/>
        <v>234641.62000000002</v>
      </c>
      <c r="L2872" s="134">
        <v>0.1792</v>
      </c>
    </row>
    <row r="2873" spans="3:12">
      <c r="C2873" s="161">
        <f t="shared" si="183"/>
        <v>2017</v>
      </c>
      <c r="D2873" s="35" t="s">
        <v>303</v>
      </c>
      <c r="E2873" s="227">
        <v>42736</v>
      </c>
      <c r="F2873" s="156">
        <v>474151.2</v>
      </c>
      <c r="G2873" s="131">
        <f t="shared" si="184"/>
        <v>84967.895040000003</v>
      </c>
      <c r="H2873" s="156">
        <v>3151.94</v>
      </c>
      <c r="I2873" s="156">
        <v>2173.14</v>
      </c>
      <c r="J2873" s="156">
        <v>6342.33</v>
      </c>
      <c r="K2873" s="131">
        <f t="shared" si="185"/>
        <v>11667.41</v>
      </c>
      <c r="L2873" s="134">
        <v>0.1792</v>
      </c>
    </row>
    <row r="2874" spans="3:12">
      <c r="C2874" s="161">
        <f t="shared" si="183"/>
        <v>2017</v>
      </c>
      <c r="D2874" s="35" t="s">
        <v>303</v>
      </c>
      <c r="E2874" s="227">
        <v>42767</v>
      </c>
      <c r="F2874" s="156">
        <v>434036.56</v>
      </c>
      <c r="G2874" s="131">
        <f t="shared" si="184"/>
        <v>77779.351551999993</v>
      </c>
      <c r="H2874" s="156">
        <v>1870.42</v>
      </c>
      <c r="I2874" s="156">
        <v>261250.48</v>
      </c>
      <c r="J2874" s="156">
        <v>3721.2</v>
      </c>
      <c r="K2874" s="131">
        <f t="shared" si="185"/>
        <v>266842.10000000003</v>
      </c>
      <c r="L2874" s="134">
        <v>0.1792</v>
      </c>
    </row>
    <row r="2875" spans="3:12">
      <c r="C2875" s="161">
        <f t="shared" si="183"/>
        <v>2017</v>
      </c>
      <c r="D2875" s="35" t="s">
        <v>303</v>
      </c>
      <c r="E2875" s="227">
        <v>42795</v>
      </c>
      <c r="F2875" s="156">
        <v>412135.25</v>
      </c>
      <c r="G2875" s="131">
        <f t="shared" si="184"/>
        <v>73854.636799999993</v>
      </c>
      <c r="H2875" s="156">
        <v>1422.07</v>
      </c>
      <c r="I2875" s="156">
        <v>32909.69</v>
      </c>
      <c r="J2875" s="156">
        <v>0</v>
      </c>
      <c r="K2875" s="131">
        <f t="shared" si="185"/>
        <v>34331.760000000002</v>
      </c>
      <c r="L2875" s="134">
        <v>0.1792</v>
      </c>
    </row>
    <row r="2876" spans="3:12">
      <c r="C2876" s="161">
        <f t="shared" si="183"/>
        <v>2017</v>
      </c>
      <c r="D2876" s="35" t="s">
        <v>303</v>
      </c>
      <c r="E2876" s="227">
        <v>42826</v>
      </c>
      <c r="F2876" s="156">
        <v>420669.75</v>
      </c>
      <c r="G2876" s="131">
        <f t="shared" si="184"/>
        <v>75384.019199999995</v>
      </c>
      <c r="H2876" s="156">
        <v>1745.9</v>
      </c>
      <c r="I2876" s="156">
        <v>2528.38</v>
      </c>
      <c r="J2876" s="156">
        <v>0</v>
      </c>
      <c r="K2876" s="131">
        <f t="shared" si="185"/>
        <v>4274.2800000000007</v>
      </c>
      <c r="L2876" s="134">
        <v>0.1792</v>
      </c>
    </row>
    <row r="2877" spans="3:12">
      <c r="C2877" s="161">
        <f t="shared" si="183"/>
        <v>2017</v>
      </c>
      <c r="D2877" s="35" t="s">
        <v>303</v>
      </c>
      <c r="E2877" s="227">
        <v>42856</v>
      </c>
      <c r="F2877" s="156">
        <v>396659.85</v>
      </c>
      <c r="G2877" s="131">
        <f t="shared" si="184"/>
        <v>71081.445119999989</v>
      </c>
      <c r="H2877" s="156">
        <v>1331.79</v>
      </c>
      <c r="I2877" s="156">
        <v>0</v>
      </c>
      <c r="J2877" s="156">
        <v>0</v>
      </c>
      <c r="K2877" s="131">
        <f t="shared" si="185"/>
        <v>1331.79</v>
      </c>
      <c r="L2877" s="134">
        <v>0.1792</v>
      </c>
    </row>
    <row r="2878" spans="3:12">
      <c r="C2878" s="161">
        <f t="shared" si="183"/>
        <v>2017</v>
      </c>
      <c r="D2878" s="35" t="s">
        <v>303</v>
      </c>
      <c r="E2878" s="227">
        <v>42887</v>
      </c>
      <c r="F2878" s="156">
        <v>400547.52</v>
      </c>
      <c r="G2878" s="131">
        <f t="shared" si="184"/>
        <v>71778.115583999999</v>
      </c>
      <c r="H2878" s="156">
        <v>882.03</v>
      </c>
      <c r="I2878" s="156">
        <v>1716.21</v>
      </c>
      <c r="J2878" s="156">
        <v>0</v>
      </c>
      <c r="K2878" s="131">
        <f t="shared" si="185"/>
        <v>2598.2399999999998</v>
      </c>
      <c r="L2878" s="134">
        <v>0.1792</v>
      </c>
    </row>
    <row r="2879" spans="3:12">
      <c r="C2879" s="161">
        <f t="shared" si="183"/>
        <v>2017</v>
      </c>
      <c r="D2879" s="35" t="s">
        <v>303</v>
      </c>
      <c r="E2879" s="227">
        <v>42917</v>
      </c>
      <c r="F2879" s="156">
        <v>424895.8</v>
      </c>
      <c r="G2879" s="131">
        <f t="shared" si="184"/>
        <v>76141.327359999996</v>
      </c>
      <c r="H2879" s="156">
        <v>811.19</v>
      </c>
      <c r="I2879" s="156">
        <v>5077.38</v>
      </c>
      <c r="J2879" s="156">
        <v>9761.31</v>
      </c>
      <c r="K2879" s="131">
        <f t="shared" si="185"/>
        <v>15649.88</v>
      </c>
      <c r="L2879" s="134">
        <v>0.1792</v>
      </c>
    </row>
    <row r="2880" spans="3:12">
      <c r="C2880" s="161">
        <f t="shared" si="183"/>
        <v>2017</v>
      </c>
      <c r="D2880" s="35" t="s">
        <v>303</v>
      </c>
      <c r="E2880" s="227">
        <v>42948</v>
      </c>
      <c r="F2880" s="156">
        <v>447149.55</v>
      </c>
      <c r="G2880" s="131">
        <f t="shared" si="184"/>
        <v>80129.199359999999</v>
      </c>
      <c r="H2880" s="156">
        <v>1999.16</v>
      </c>
      <c r="I2880" s="156">
        <v>0</v>
      </c>
      <c r="J2880" s="156">
        <v>0</v>
      </c>
      <c r="K2880" s="131">
        <f t="shared" si="185"/>
        <v>1999.16</v>
      </c>
      <c r="L2880" s="134">
        <v>0.1792</v>
      </c>
    </row>
    <row r="2881" spans="3:12">
      <c r="C2881" s="161">
        <f t="shared" si="183"/>
        <v>2017</v>
      </c>
      <c r="D2881" s="35" t="s">
        <v>303</v>
      </c>
      <c r="E2881" s="227">
        <v>42979</v>
      </c>
      <c r="F2881" s="156">
        <v>514887.2</v>
      </c>
      <c r="G2881" s="131">
        <f t="shared" si="184"/>
        <v>92267.786240000001</v>
      </c>
      <c r="H2881" s="156">
        <v>4880.0600000000004</v>
      </c>
      <c r="I2881" s="156">
        <v>1945.68</v>
      </c>
      <c r="J2881" s="156">
        <v>0</v>
      </c>
      <c r="K2881" s="131">
        <f t="shared" si="185"/>
        <v>6825.7400000000007</v>
      </c>
      <c r="L2881" s="134">
        <v>0.1792</v>
      </c>
    </row>
    <row r="2882" spans="3:12">
      <c r="C2882" s="161">
        <f t="shared" si="183"/>
        <v>2017</v>
      </c>
      <c r="D2882" s="35" t="s">
        <v>303</v>
      </c>
      <c r="E2882" s="227">
        <v>43009</v>
      </c>
      <c r="F2882" s="156">
        <v>478241.98</v>
      </c>
      <c r="G2882" s="131">
        <f t="shared" si="184"/>
        <v>85700.962815999999</v>
      </c>
      <c r="H2882" s="156">
        <v>3383.72</v>
      </c>
      <c r="I2882" s="156">
        <v>104.36</v>
      </c>
      <c r="J2882" s="156">
        <v>0</v>
      </c>
      <c r="K2882" s="131">
        <f t="shared" si="185"/>
        <v>3488.08</v>
      </c>
      <c r="L2882" s="134">
        <v>0.1792</v>
      </c>
    </row>
    <row r="2883" spans="3:12">
      <c r="C2883" s="161">
        <f t="shared" si="183"/>
        <v>2017</v>
      </c>
      <c r="D2883" s="35" t="s">
        <v>303</v>
      </c>
      <c r="E2883" s="227">
        <v>43040</v>
      </c>
      <c r="F2883" s="156">
        <v>467989.95</v>
      </c>
      <c r="G2883" s="131">
        <f t="shared" si="184"/>
        <v>83863.799039999998</v>
      </c>
      <c r="H2883" s="156">
        <v>1111.68</v>
      </c>
      <c r="I2883" s="156">
        <v>3807.81</v>
      </c>
      <c r="J2883" s="156">
        <v>138500</v>
      </c>
      <c r="K2883" s="131">
        <f t="shared" si="185"/>
        <v>143419.49</v>
      </c>
      <c r="L2883" s="134">
        <v>0.1792</v>
      </c>
    </row>
    <row r="2884" spans="3:12">
      <c r="C2884" s="161">
        <f t="shared" ref="C2884:C2947" si="186">YEAR(E2884)</f>
        <v>2017</v>
      </c>
      <c r="D2884" s="35" t="s">
        <v>303</v>
      </c>
      <c r="E2884" s="227">
        <v>43070</v>
      </c>
      <c r="F2884" s="156">
        <v>452606.4</v>
      </c>
      <c r="G2884" s="131">
        <f t="shared" ref="G2884:G2947" si="187">F2884*L2884</f>
        <v>81107.066879999998</v>
      </c>
      <c r="H2884" s="156">
        <v>704.84</v>
      </c>
      <c r="I2884" s="156">
        <v>3757.48</v>
      </c>
      <c r="J2884" s="156">
        <v>0</v>
      </c>
      <c r="K2884" s="131">
        <f t="shared" ref="K2884:K2947" si="188">SUM(H2884:J2884)</f>
        <v>4462.32</v>
      </c>
      <c r="L2884" s="134">
        <v>0.1792</v>
      </c>
    </row>
    <row r="2885" spans="3:12">
      <c r="C2885" s="161">
        <f t="shared" si="186"/>
        <v>2018</v>
      </c>
      <c r="D2885" s="35" t="s">
        <v>303</v>
      </c>
      <c r="E2885" s="227">
        <v>43101</v>
      </c>
      <c r="F2885" s="156">
        <v>457095.38</v>
      </c>
      <c r="G2885" s="131">
        <f t="shared" si="187"/>
        <v>81911.492096000002</v>
      </c>
      <c r="H2885" s="156">
        <v>1281.26</v>
      </c>
      <c r="I2885" s="156">
        <v>0</v>
      </c>
      <c r="J2885" s="156">
        <v>0</v>
      </c>
      <c r="K2885" s="131">
        <f t="shared" si="188"/>
        <v>1281.26</v>
      </c>
      <c r="L2885" s="134">
        <v>0.1792</v>
      </c>
    </row>
    <row r="2886" spans="3:12">
      <c r="C2886" s="161">
        <f t="shared" si="186"/>
        <v>2018</v>
      </c>
      <c r="D2886" s="35" t="s">
        <v>303</v>
      </c>
      <c r="E2886" s="227">
        <v>43132</v>
      </c>
      <c r="F2886" s="156">
        <v>452883.07</v>
      </c>
      <c r="G2886" s="131">
        <f t="shared" si="187"/>
        <v>81156.646143999998</v>
      </c>
      <c r="H2886" s="156">
        <v>220.18</v>
      </c>
      <c r="I2886" s="156">
        <v>53.82</v>
      </c>
      <c r="J2886" s="156">
        <v>0</v>
      </c>
      <c r="K2886" s="131">
        <f t="shared" si="188"/>
        <v>274</v>
      </c>
      <c r="L2886" s="134">
        <v>0.1792</v>
      </c>
    </row>
    <row r="2887" spans="3:12">
      <c r="C2887" s="161">
        <f t="shared" si="186"/>
        <v>2018</v>
      </c>
      <c r="D2887" s="35" t="s">
        <v>303</v>
      </c>
      <c r="E2887" s="227">
        <v>43160</v>
      </c>
      <c r="F2887" s="156">
        <v>432412.97</v>
      </c>
      <c r="G2887" s="131">
        <f t="shared" si="187"/>
        <v>77488.404223999998</v>
      </c>
      <c r="H2887" s="156">
        <v>816.63</v>
      </c>
      <c r="I2887" s="156">
        <v>3537.68</v>
      </c>
      <c r="J2887" s="156">
        <v>0</v>
      </c>
      <c r="K2887" s="131">
        <f t="shared" si="188"/>
        <v>4354.3099999999995</v>
      </c>
      <c r="L2887" s="134">
        <v>0.1792</v>
      </c>
    </row>
    <row r="2888" spans="3:12">
      <c r="C2888" s="161">
        <f t="shared" si="186"/>
        <v>2018</v>
      </c>
      <c r="D2888" s="35" t="s">
        <v>303</v>
      </c>
      <c r="E2888" s="227">
        <v>43191</v>
      </c>
      <c r="F2888" s="156">
        <v>448000.55</v>
      </c>
      <c r="G2888" s="131">
        <f t="shared" si="187"/>
        <v>80281.698560000004</v>
      </c>
      <c r="H2888" s="156">
        <v>1010.85</v>
      </c>
      <c r="I2888" s="156">
        <v>2692.33</v>
      </c>
      <c r="J2888" s="156">
        <v>0</v>
      </c>
      <c r="K2888" s="131">
        <f t="shared" si="188"/>
        <v>3703.18</v>
      </c>
      <c r="L2888" s="134">
        <v>0.1792</v>
      </c>
    </row>
    <row r="2889" spans="3:12">
      <c r="C2889" s="161">
        <f t="shared" si="186"/>
        <v>2018</v>
      </c>
      <c r="D2889" s="35" t="s">
        <v>303</v>
      </c>
      <c r="E2889" s="227">
        <v>43221</v>
      </c>
      <c r="F2889" s="156">
        <v>456113.72</v>
      </c>
      <c r="G2889" s="131">
        <f t="shared" si="187"/>
        <v>81735.578623999987</v>
      </c>
      <c r="H2889" s="156">
        <v>2197.41</v>
      </c>
      <c r="I2889" s="156">
        <v>3532.1</v>
      </c>
      <c r="J2889" s="156">
        <v>0</v>
      </c>
      <c r="K2889" s="131">
        <f t="shared" si="188"/>
        <v>5729.51</v>
      </c>
      <c r="L2889" s="134">
        <v>0.1792</v>
      </c>
    </row>
    <row r="2890" spans="3:12">
      <c r="C2890" s="161">
        <f t="shared" si="186"/>
        <v>2018</v>
      </c>
      <c r="D2890" s="35" t="s">
        <v>303</v>
      </c>
      <c r="E2890" s="227">
        <v>43252</v>
      </c>
      <c r="F2890" s="156">
        <v>408155.6</v>
      </c>
      <c r="G2890" s="131">
        <f t="shared" si="187"/>
        <v>73141.483519999994</v>
      </c>
      <c r="H2890" s="156">
        <v>886.02</v>
      </c>
      <c r="I2890" s="156">
        <v>1557.5</v>
      </c>
      <c r="J2890" s="156">
        <v>1225</v>
      </c>
      <c r="K2890" s="131">
        <f t="shared" si="188"/>
        <v>3668.52</v>
      </c>
      <c r="L2890" s="134">
        <v>0.1792</v>
      </c>
    </row>
    <row r="2891" spans="3:12">
      <c r="C2891" s="161">
        <f t="shared" si="186"/>
        <v>2018</v>
      </c>
      <c r="D2891" s="35" t="s">
        <v>303</v>
      </c>
      <c r="E2891" s="227">
        <v>43282</v>
      </c>
      <c r="F2891" s="156">
        <v>409394.15</v>
      </c>
      <c r="G2891" s="131">
        <f t="shared" si="187"/>
        <v>73363.431680000009</v>
      </c>
      <c r="H2891" s="156">
        <v>1940.15</v>
      </c>
      <c r="I2891" s="156">
        <v>122398.11</v>
      </c>
      <c r="J2891" s="156">
        <v>623.54999999999995</v>
      </c>
      <c r="K2891" s="131">
        <f t="shared" si="188"/>
        <v>124961.81</v>
      </c>
      <c r="L2891" s="134">
        <v>0.1792</v>
      </c>
    </row>
    <row r="2892" spans="3:12">
      <c r="C2892" s="161">
        <f t="shared" si="186"/>
        <v>2018</v>
      </c>
      <c r="D2892" s="35" t="s">
        <v>303</v>
      </c>
      <c r="E2892" s="227">
        <v>43313</v>
      </c>
      <c r="F2892" s="156">
        <v>434663.9</v>
      </c>
      <c r="G2892" s="131">
        <f t="shared" si="187"/>
        <v>77891.770879999996</v>
      </c>
      <c r="H2892" s="156">
        <v>1098.57</v>
      </c>
      <c r="I2892" s="156">
        <v>1680.46</v>
      </c>
      <c r="J2892" s="156">
        <v>0</v>
      </c>
      <c r="K2892" s="131">
        <f t="shared" si="188"/>
        <v>2779.0299999999997</v>
      </c>
      <c r="L2892" s="134">
        <v>0.1792</v>
      </c>
    </row>
    <row r="2893" spans="3:12">
      <c r="C2893" s="161">
        <f t="shared" si="186"/>
        <v>2018</v>
      </c>
      <c r="D2893" s="35" t="s">
        <v>303</v>
      </c>
      <c r="E2893" s="227">
        <v>43344</v>
      </c>
      <c r="F2893" s="156">
        <v>444527.93</v>
      </c>
      <c r="G2893" s="131">
        <f t="shared" si="187"/>
        <v>79659.405056000003</v>
      </c>
      <c r="H2893" s="156">
        <v>614.69000000000005</v>
      </c>
      <c r="I2893" s="156">
        <v>634.78</v>
      </c>
      <c r="J2893" s="156">
        <v>0</v>
      </c>
      <c r="K2893" s="131">
        <f t="shared" si="188"/>
        <v>1249.47</v>
      </c>
      <c r="L2893" s="134">
        <v>0.1792</v>
      </c>
    </row>
    <row r="2894" spans="3:12">
      <c r="C2894" s="161">
        <f t="shared" si="186"/>
        <v>2018</v>
      </c>
      <c r="D2894" s="35" t="s">
        <v>303</v>
      </c>
      <c r="E2894" s="227">
        <v>43374</v>
      </c>
      <c r="F2894" s="156">
        <v>461750.61</v>
      </c>
      <c r="G2894" s="131">
        <f t="shared" si="187"/>
        <v>82745.709311999992</v>
      </c>
      <c r="H2894" s="156">
        <v>559.55999999999995</v>
      </c>
      <c r="I2894" s="156">
        <v>172.51</v>
      </c>
      <c r="J2894" s="156">
        <v>0</v>
      </c>
      <c r="K2894" s="131">
        <f t="shared" si="188"/>
        <v>732.06999999999994</v>
      </c>
      <c r="L2894" s="134">
        <v>0.1792</v>
      </c>
    </row>
    <row r="2895" spans="3:12">
      <c r="C2895" s="161">
        <f t="shared" si="186"/>
        <v>2018</v>
      </c>
      <c r="D2895" s="35" t="s">
        <v>303</v>
      </c>
      <c r="E2895" s="227">
        <v>43405</v>
      </c>
      <c r="F2895" s="156">
        <v>471682.00034999999</v>
      </c>
      <c r="G2895" s="131">
        <f t="shared" si="187"/>
        <v>84525.41446272</v>
      </c>
      <c r="H2895" s="156">
        <v>869.94</v>
      </c>
      <c r="I2895" s="156">
        <v>0</v>
      </c>
      <c r="J2895" s="156">
        <v>0</v>
      </c>
      <c r="K2895" s="131">
        <f t="shared" si="188"/>
        <v>869.94</v>
      </c>
      <c r="L2895" s="134">
        <v>0.1792</v>
      </c>
    </row>
    <row r="2896" spans="3:12">
      <c r="C2896" s="161">
        <f t="shared" si="186"/>
        <v>2018</v>
      </c>
      <c r="D2896" s="35" t="s">
        <v>303</v>
      </c>
      <c r="E2896" s="227">
        <v>43435</v>
      </c>
      <c r="F2896" s="156">
        <v>477786.78</v>
      </c>
      <c r="G2896" s="131">
        <f t="shared" si="187"/>
        <v>85619.39097600001</v>
      </c>
      <c r="H2896" s="156">
        <v>382.02</v>
      </c>
      <c r="I2896" s="156">
        <v>1717.85</v>
      </c>
      <c r="J2896" s="156" t="s">
        <v>267</v>
      </c>
      <c r="K2896" s="131">
        <f t="shared" si="188"/>
        <v>2099.87</v>
      </c>
      <c r="L2896" s="134">
        <v>0.1792</v>
      </c>
    </row>
    <row r="2897" spans="3:12">
      <c r="C2897" s="161">
        <f t="shared" si="186"/>
        <v>2019</v>
      </c>
      <c r="D2897" s="35" t="s">
        <v>303</v>
      </c>
      <c r="E2897" s="227">
        <v>43466</v>
      </c>
      <c r="F2897" s="156">
        <v>499575.59</v>
      </c>
      <c r="G2897" s="131">
        <f t="shared" si="187"/>
        <v>89523.945728000006</v>
      </c>
      <c r="H2897" s="156">
        <v>1017.61</v>
      </c>
      <c r="I2897" s="156">
        <v>197.9</v>
      </c>
      <c r="J2897" s="156">
        <v>0</v>
      </c>
      <c r="K2897" s="131">
        <f t="shared" si="188"/>
        <v>1215.51</v>
      </c>
      <c r="L2897" s="134">
        <v>0.1792</v>
      </c>
    </row>
    <row r="2898" spans="3:12">
      <c r="C2898" s="161">
        <f t="shared" si="186"/>
        <v>2019</v>
      </c>
      <c r="D2898" s="35" t="s">
        <v>303</v>
      </c>
      <c r="E2898" s="227">
        <v>43497</v>
      </c>
      <c r="F2898" s="156">
        <v>485795.4</v>
      </c>
      <c r="G2898" s="131">
        <f t="shared" si="187"/>
        <v>87054.535680000001</v>
      </c>
      <c r="H2898" s="156">
        <v>2735.38</v>
      </c>
      <c r="I2898" s="156">
        <v>7835.55</v>
      </c>
      <c r="J2898" s="156">
        <v>0</v>
      </c>
      <c r="K2898" s="131">
        <f t="shared" si="188"/>
        <v>10570.93</v>
      </c>
      <c r="L2898" s="134">
        <v>0.1792</v>
      </c>
    </row>
    <row r="2899" spans="3:12">
      <c r="C2899" s="161">
        <f t="shared" si="186"/>
        <v>2019</v>
      </c>
      <c r="D2899" s="35" t="s">
        <v>303</v>
      </c>
      <c r="E2899" s="227">
        <v>43525</v>
      </c>
      <c r="F2899" s="156">
        <v>437998.35</v>
      </c>
      <c r="G2899" s="131">
        <f t="shared" si="187"/>
        <v>78489.304319999996</v>
      </c>
      <c r="H2899" s="156">
        <v>742.67</v>
      </c>
      <c r="I2899" s="156">
        <v>13796.13</v>
      </c>
      <c r="J2899" s="156">
        <v>0</v>
      </c>
      <c r="K2899" s="131">
        <f t="shared" si="188"/>
        <v>14538.8</v>
      </c>
      <c r="L2899" s="134">
        <v>0.1792</v>
      </c>
    </row>
    <row r="2900" spans="3:12">
      <c r="C2900" s="161">
        <f t="shared" si="186"/>
        <v>2019</v>
      </c>
      <c r="D2900" s="35" t="s">
        <v>303</v>
      </c>
      <c r="E2900" s="227">
        <v>43556</v>
      </c>
      <c r="F2900" s="156">
        <v>469145.47</v>
      </c>
      <c r="G2900" s="131">
        <f t="shared" si="187"/>
        <v>84070.868223999991</v>
      </c>
      <c r="H2900" s="156">
        <v>4470.34</v>
      </c>
      <c r="I2900" s="156">
        <v>0</v>
      </c>
      <c r="J2900" s="156">
        <v>0</v>
      </c>
      <c r="K2900" s="131">
        <f t="shared" si="188"/>
        <v>4470.34</v>
      </c>
      <c r="L2900" s="134">
        <v>0.1792</v>
      </c>
    </row>
    <row r="2901" spans="3:12">
      <c r="C2901" s="161">
        <f t="shared" si="186"/>
        <v>2019</v>
      </c>
      <c r="D2901" s="35" t="s">
        <v>303</v>
      </c>
      <c r="E2901" s="227">
        <v>43586</v>
      </c>
      <c r="F2901" s="156">
        <v>545491.4</v>
      </c>
      <c r="G2901" s="131">
        <f t="shared" si="187"/>
        <v>97752.058879999997</v>
      </c>
      <c r="H2901" s="156">
        <v>2926.48</v>
      </c>
      <c r="I2901" s="156">
        <v>5761.6</v>
      </c>
      <c r="J2901" s="156">
        <v>0</v>
      </c>
      <c r="K2901" s="131">
        <f t="shared" si="188"/>
        <v>8688.08</v>
      </c>
      <c r="L2901" s="134">
        <v>0.1792</v>
      </c>
    </row>
    <row r="2902" spans="3:12">
      <c r="C2902" s="161">
        <f t="shared" si="186"/>
        <v>2019</v>
      </c>
      <c r="D2902" s="35" t="s">
        <v>303</v>
      </c>
      <c r="E2902" s="227">
        <v>43617</v>
      </c>
      <c r="F2902" s="156">
        <v>646730.85</v>
      </c>
      <c r="G2902" s="131">
        <f t="shared" si="187"/>
        <v>115894.16832</v>
      </c>
      <c r="H2902" s="156">
        <v>4698.03</v>
      </c>
      <c r="I2902" s="156">
        <v>1492.6</v>
      </c>
      <c r="J2902" s="156">
        <v>0</v>
      </c>
      <c r="K2902" s="131">
        <f t="shared" si="188"/>
        <v>6190.6299999999992</v>
      </c>
      <c r="L2902" s="134">
        <v>0.1792</v>
      </c>
    </row>
    <row r="2903" spans="3:12">
      <c r="C2903" s="161">
        <f t="shared" si="186"/>
        <v>2019</v>
      </c>
      <c r="D2903" s="35" t="s">
        <v>303</v>
      </c>
      <c r="E2903" s="227">
        <v>43647</v>
      </c>
      <c r="F2903" s="156">
        <v>253846.39999999999</v>
      </c>
      <c r="G2903" s="131">
        <f t="shared" si="187"/>
        <v>45489.274879999997</v>
      </c>
      <c r="H2903" s="156">
        <v>3266.24</v>
      </c>
      <c r="I2903" s="156">
        <v>3164.44</v>
      </c>
      <c r="J2903" s="156">
        <v>1816.3</v>
      </c>
      <c r="K2903" s="131">
        <f t="shared" si="188"/>
        <v>8246.98</v>
      </c>
      <c r="L2903" s="134">
        <v>0.1792</v>
      </c>
    </row>
    <row r="2904" spans="3:12">
      <c r="C2904" s="161">
        <f t="shared" si="186"/>
        <v>2019</v>
      </c>
      <c r="D2904" s="35" t="s">
        <v>303</v>
      </c>
      <c r="E2904" s="227">
        <v>43678</v>
      </c>
      <c r="F2904" s="156">
        <v>478776.45</v>
      </c>
      <c r="G2904" s="131">
        <f t="shared" si="187"/>
        <v>85796.739839999995</v>
      </c>
      <c r="H2904" s="156">
        <v>4611.21</v>
      </c>
      <c r="I2904" s="156">
        <v>243489.49</v>
      </c>
      <c r="J2904" s="156">
        <v>0</v>
      </c>
      <c r="K2904" s="131">
        <f t="shared" si="188"/>
        <v>248100.69999999998</v>
      </c>
      <c r="L2904" s="134">
        <v>0.1792</v>
      </c>
    </row>
    <row r="2905" spans="3:12">
      <c r="C2905" s="161">
        <f t="shared" si="186"/>
        <v>2019</v>
      </c>
      <c r="D2905" s="35" t="s">
        <v>303</v>
      </c>
      <c r="E2905" s="227">
        <v>43709</v>
      </c>
      <c r="F2905" s="156">
        <v>534575.35</v>
      </c>
      <c r="G2905" s="131">
        <f t="shared" si="187"/>
        <v>95795.902719999998</v>
      </c>
      <c r="H2905" s="156">
        <v>2853.21</v>
      </c>
      <c r="I2905" s="156">
        <v>4693.2</v>
      </c>
      <c r="J2905" s="156">
        <v>380.88</v>
      </c>
      <c r="K2905" s="131">
        <f t="shared" si="188"/>
        <v>7927.29</v>
      </c>
      <c r="L2905" s="134">
        <v>0.1792</v>
      </c>
    </row>
    <row r="2906" spans="3:12">
      <c r="C2906" s="161">
        <f t="shared" si="186"/>
        <v>2019</v>
      </c>
      <c r="D2906" s="35" t="s">
        <v>303</v>
      </c>
      <c r="E2906" s="227">
        <v>43739</v>
      </c>
      <c r="F2906" s="156">
        <v>535556.65</v>
      </c>
      <c r="G2906" s="131">
        <f t="shared" si="187"/>
        <v>95971.751680000001</v>
      </c>
      <c r="H2906" s="156">
        <v>1410.37</v>
      </c>
      <c r="I2906" s="156">
        <v>664.86</v>
      </c>
      <c r="J2906" s="156">
        <v>777.76</v>
      </c>
      <c r="K2906" s="131">
        <f t="shared" si="188"/>
        <v>2852.99</v>
      </c>
      <c r="L2906" s="134">
        <v>0.1792</v>
      </c>
    </row>
    <row r="2907" spans="3:12">
      <c r="C2907" s="161">
        <f t="shared" si="186"/>
        <v>2019</v>
      </c>
      <c r="D2907" s="35" t="s">
        <v>303</v>
      </c>
      <c r="E2907" s="227">
        <v>43770</v>
      </c>
      <c r="F2907" s="156">
        <v>561588.17000000004</v>
      </c>
      <c r="G2907" s="131">
        <f t="shared" si="187"/>
        <v>100636.60006400001</v>
      </c>
      <c r="H2907" s="156">
        <v>3498.51</v>
      </c>
      <c r="I2907" s="156">
        <v>0</v>
      </c>
      <c r="J2907" s="156">
        <v>1666.73</v>
      </c>
      <c r="K2907" s="131">
        <f t="shared" si="188"/>
        <v>5165.24</v>
      </c>
      <c r="L2907" s="134">
        <v>0.1792</v>
      </c>
    </row>
    <row r="2908" spans="3:12">
      <c r="C2908" s="161">
        <f t="shared" si="186"/>
        <v>2019</v>
      </c>
      <c r="D2908" s="35" t="s">
        <v>303</v>
      </c>
      <c r="E2908" s="227">
        <v>43800</v>
      </c>
      <c r="F2908" s="156">
        <v>529939.81999999995</v>
      </c>
      <c r="G2908" s="131">
        <f t="shared" si="187"/>
        <v>94965.215743999986</v>
      </c>
      <c r="H2908" s="156">
        <v>887.34</v>
      </c>
      <c r="I2908" s="156">
        <v>1189.8</v>
      </c>
      <c r="J2908" s="156">
        <v>0</v>
      </c>
      <c r="K2908" s="131">
        <f t="shared" si="188"/>
        <v>2077.14</v>
      </c>
      <c r="L2908" s="134">
        <v>0.1792</v>
      </c>
    </row>
    <row r="2909" spans="3:12">
      <c r="C2909" s="161">
        <f t="shared" si="186"/>
        <v>2020</v>
      </c>
      <c r="D2909" s="35" t="s">
        <v>303</v>
      </c>
      <c r="E2909" s="227">
        <v>43831</v>
      </c>
      <c r="F2909" s="156">
        <v>499174.06</v>
      </c>
      <c r="G2909" s="131">
        <f t="shared" si="187"/>
        <v>89451.991551999992</v>
      </c>
      <c r="H2909" s="156">
        <v>1056.21</v>
      </c>
      <c r="I2909" s="156">
        <v>3614.26</v>
      </c>
      <c r="J2909" s="156">
        <v>0</v>
      </c>
      <c r="K2909" s="131">
        <f t="shared" si="188"/>
        <v>4670.47</v>
      </c>
      <c r="L2909" s="134">
        <v>0.1792</v>
      </c>
    </row>
    <row r="2910" spans="3:12">
      <c r="C2910" s="161">
        <f t="shared" si="186"/>
        <v>2020</v>
      </c>
      <c r="D2910" s="35" t="s">
        <v>303</v>
      </c>
      <c r="E2910" s="227">
        <v>43862</v>
      </c>
      <c r="F2910" s="156">
        <v>486762</v>
      </c>
      <c r="G2910" s="131">
        <f t="shared" si="187"/>
        <v>87227.750400000004</v>
      </c>
      <c r="H2910" s="156">
        <v>1141.6099999999999</v>
      </c>
      <c r="I2910" s="156">
        <v>1842.01</v>
      </c>
      <c r="J2910" s="156">
        <v>0</v>
      </c>
      <c r="K2910" s="131">
        <f t="shared" si="188"/>
        <v>2983.62</v>
      </c>
      <c r="L2910" s="134">
        <v>0.1792</v>
      </c>
    </row>
    <row r="2911" spans="3:12">
      <c r="C2911" s="161">
        <f t="shared" si="186"/>
        <v>2020</v>
      </c>
      <c r="D2911" s="35" t="s">
        <v>303</v>
      </c>
      <c r="E2911" s="227">
        <v>43891</v>
      </c>
      <c r="F2911" s="156">
        <v>502435.37849999999</v>
      </c>
      <c r="G2911" s="131">
        <f t="shared" si="187"/>
        <v>90036.419827199992</v>
      </c>
      <c r="H2911" s="156">
        <v>3204.01</v>
      </c>
      <c r="I2911" s="156">
        <v>9266.89</v>
      </c>
      <c r="J2911" s="156">
        <v>0</v>
      </c>
      <c r="K2911" s="131">
        <f t="shared" si="188"/>
        <v>12470.9</v>
      </c>
      <c r="L2911" s="134">
        <v>0.1792</v>
      </c>
    </row>
    <row r="2912" spans="3:12">
      <c r="C2912" s="161">
        <f t="shared" si="186"/>
        <v>2020</v>
      </c>
      <c r="D2912" s="35" t="s">
        <v>303</v>
      </c>
      <c r="E2912" s="227">
        <v>43922</v>
      </c>
      <c r="F2912" s="156">
        <v>523844.964225</v>
      </c>
      <c r="G2912" s="131">
        <f t="shared" si="187"/>
        <v>93873.017589120005</v>
      </c>
      <c r="H2912" s="156">
        <v>121.66</v>
      </c>
      <c r="I2912" s="156">
        <v>1153.28</v>
      </c>
      <c r="J2912" s="156">
        <v>0</v>
      </c>
      <c r="K2912" s="131">
        <f t="shared" si="188"/>
        <v>1274.94</v>
      </c>
      <c r="L2912" s="134">
        <v>0.1792</v>
      </c>
    </row>
    <row r="2913" spans="3:12">
      <c r="C2913" s="161">
        <f t="shared" si="186"/>
        <v>2020</v>
      </c>
      <c r="D2913" s="35" t="s">
        <v>303</v>
      </c>
      <c r="E2913" s="227">
        <v>43952</v>
      </c>
      <c r="F2913" s="156">
        <v>515437.43</v>
      </c>
      <c r="G2913" s="131">
        <f t="shared" si="187"/>
        <v>92366.387455999997</v>
      </c>
      <c r="H2913" s="156">
        <v>1231.6099999999999</v>
      </c>
      <c r="I2913" s="156">
        <v>2196.7600000000002</v>
      </c>
      <c r="J2913" s="156">
        <v>0</v>
      </c>
      <c r="K2913" s="131">
        <f t="shared" si="188"/>
        <v>3428.37</v>
      </c>
      <c r="L2913" s="134">
        <v>0.1792</v>
      </c>
    </row>
    <row r="2914" spans="3:12">
      <c r="C2914" s="161">
        <f t="shared" si="186"/>
        <v>2020</v>
      </c>
      <c r="D2914" s="35" t="s">
        <v>303</v>
      </c>
      <c r="E2914" s="227">
        <v>43983</v>
      </c>
      <c r="F2914" s="156">
        <v>433725.69</v>
      </c>
      <c r="G2914" s="131">
        <f t="shared" si="187"/>
        <v>77723.643647999997</v>
      </c>
      <c r="H2914" s="156">
        <v>1783.92</v>
      </c>
      <c r="I2914" s="156">
        <v>20683.75</v>
      </c>
      <c r="J2914" s="156">
        <v>2330</v>
      </c>
      <c r="K2914" s="131">
        <f t="shared" si="188"/>
        <v>24797.67</v>
      </c>
      <c r="L2914" s="134">
        <v>0.1792</v>
      </c>
    </row>
    <row r="2915" spans="3:12">
      <c r="C2915" s="161">
        <f t="shared" si="186"/>
        <v>2020</v>
      </c>
      <c r="D2915" s="35" t="s">
        <v>303</v>
      </c>
      <c r="E2915" s="227">
        <v>44013</v>
      </c>
      <c r="F2915" s="156">
        <v>446532.2</v>
      </c>
      <c r="G2915" s="131">
        <f t="shared" si="187"/>
        <v>80018.570240000001</v>
      </c>
      <c r="H2915" s="156">
        <v>11469.18</v>
      </c>
      <c r="I2915" s="156">
        <v>1678.17</v>
      </c>
      <c r="J2915" s="156">
        <v>0</v>
      </c>
      <c r="K2915" s="131">
        <f t="shared" si="188"/>
        <v>13147.35</v>
      </c>
      <c r="L2915" s="134">
        <v>0.1792</v>
      </c>
    </row>
    <row r="2916" spans="3:12">
      <c r="C2916" s="161">
        <f t="shared" si="186"/>
        <v>2020</v>
      </c>
      <c r="D2916" s="35" t="s">
        <v>303</v>
      </c>
      <c r="E2916" s="227">
        <v>44044</v>
      </c>
      <c r="F2916" s="156">
        <v>505926.27</v>
      </c>
      <c r="G2916" s="131">
        <f t="shared" si="187"/>
        <v>90661.987584000002</v>
      </c>
      <c r="H2916" s="156">
        <v>8175.3</v>
      </c>
      <c r="I2916" s="156">
        <v>4226.5200000000004</v>
      </c>
      <c r="J2916" s="156">
        <v>0</v>
      </c>
      <c r="K2916" s="131">
        <f t="shared" si="188"/>
        <v>12401.82</v>
      </c>
      <c r="L2916" s="134">
        <v>0.1792</v>
      </c>
    </row>
    <row r="2917" spans="3:12">
      <c r="C2917" s="161">
        <f t="shared" si="186"/>
        <v>2020</v>
      </c>
      <c r="D2917" s="35" t="s">
        <v>303</v>
      </c>
      <c r="E2917" s="227">
        <v>44075</v>
      </c>
      <c r="F2917" s="156">
        <v>521452.93</v>
      </c>
      <c r="G2917" s="131">
        <f t="shared" si="187"/>
        <v>93444.365055999995</v>
      </c>
      <c r="H2917" s="156">
        <v>7905.31</v>
      </c>
      <c r="I2917" s="156">
        <v>27414.12</v>
      </c>
      <c r="J2917" s="156">
        <v>0</v>
      </c>
      <c r="K2917" s="131">
        <f t="shared" si="188"/>
        <v>35319.43</v>
      </c>
      <c r="L2917" s="134">
        <v>0.1792</v>
      </c>
    </row>
    <row r="2918" spans="3:12">
      <c r="C2918" s="161">
        <f t="shared" si="186"/>
        <v>2020</v>
      </c>
      <c r="D2918" s="35" t="s">
        <v>303</v>
      </c>
      <c r="E2918" s="227">
        <v>44105</v>
      </c>
      <c r="F2918" s="156">
        <v>590187.41</v>
      </c>
      <c r="G2918" s="131">
        <f t="shared" si="187"/>
        <v>105761.583872</v>
      </c>
      <c r="H2918" s="156">
        <v>2103.7600000000002</v>
      </c>
      <c r="I2918" s="156">
        <v>81165.600000000006</v>
      </c>
      <c r="J2918" s="156">
        <v>0</v>
      </c>
      <c r="K2918" s="131">
        <f t="shared" si="188"/>
        <v>83269.36</v>
      </c>
      <c r="L2918" s="134">
        <v>0.1792</v>
      </c>
    </row>
    <row r="2919" spans="3:12">
      <c r="C2919" s="161">
        <f t="shared" si="186"/>
        <v>2020</v>
      </c>
      <c r="D2919" s="35" t="s">
        <v>303</v>
      </c>
      <c r="E2919" s="227">
        <v>44136</v>
      </c>
      <c r="F2919" s="156">
        <v>536464.56000000006</v>
      </c>
      <c r="G2919" s="131">
        <f t="shared" si="187"/>
        <v>96134.449152000016</v>
      </c>
      <c r="H2919" s="156">
        <v>1950.93</v>
      </c>
      <c r="I2919" s="156">
        <v>39801.74</v>
      </c>
      <c r="J2919" s="156">
        <v>0</v>
      </c>
      <c r="K2919" s="131">
        <f t="shared" si="188"/>
        <v>41752.67</v>
      </c>
      <c r="L2919" s="134">
        <v>0.1792</v>
      </c>
    </row>
    <row r="2920" spans="3:12">
      <c r="C2920" s="161">
        <f t="shared" si="186"/>
        <v>2020</v>
      </c>
      <c r="D2920" s="35" t="s">
        <v>303</v>
      </c>
      <c r="E2920" s="227">
        <v>44166</v>
      </c>
      <c r="F2920" s="156">
        <v>565761.47</v>
      </c>
      <c r="G2920" s="131">
        <f t="shared" si="187"/>
        <v>101384.455424</v>
      </c>
      <c r="H2920" s="156">
        <v>1759.81</v>
      </c>
      <c r="I2920" s="156">
        <v>2157.84</v>
      </c>
      <c r="J2920" s="156">
        <v>0</v>
      </c>
      <c r="K2920" s="131">
        <f t="shared" si="188"/>
        <v>3917.65</v>
      </c>
      <c r="L2920" s="134">
        <v>0.1792</v>
      </c>
    </row>
    <row r="2921" spans="3:12">
      <c r="C2921" s="161">
        <f t="shared" si="186"/>
        <v>2021</v>
      </c>
      <c r="D2921" s="35" t="s">
        <v>303</v>
      </c>
      <c r="E2921" s="227">
        <v>44197</v>
      </c>
      <c r="F2921" s="156">
        <v>577675.53</v>
      </c>
      <c r="G2921" s="131">
        <f t="shared" si="187"/>
        <v>103519.45497600001</v>
      </c>
      <c r="H2921" s="156">
        <v>9388.8799999999992</v>
      </c>
      <c r="I2921" s="156">
        <v>1294.07</v>
      </c>
      <c r="J2921" s="156">
        <v>0</v>
      </c>
      <c r="K2921" s="131">
        <f t="shared" si="188"/>
        <v>10682.949999999999</v>
      </c>
      <c r="L2921" s="134">
        <v>0.1792</v>
      </c>
    </row>
    <row r="2922" spans="3:12">
      <c r="C2922" s="161">
        <f t="shared" si="186"/>
        <v>2021</v>
      </c>
      <c r="D2922" s="35" t="s">
        <v>303</v>
      </c>
      <c r="E2922" s="227">
        <v>44229</v>
      </c>
      <c r="F2922" s="156">
        <v>537310.64</v>
      </c>
      <c r="G2922" s="131">
        <f t="shared" si="187"/>
        <v>96286.066688000006</v>
      </c>
      <c r="H2922" s="156">
        <v>8566.5499999999993</v>
      </c>
      <c r="I2922" s="156">
        <v>2048.14</v>
      </c>
      <c r="J2922" s="156">
        <v>0</v>
      </c>
      <c r="K2922" s="131">
        <f t="shared" si="188"/>
        <v>10614.689999999999</v>
      </c>
      <c r="L2922" s="134">
        <v>0.1792</v>
      </c>
    </row>
    <row r="2923" spans="3:12">
      <c r="C2923" s="161">
        <f t="shared" si="186"/>
        <v>2021</v>
      </c>
      <c r="D2923" s="35" t="s">
        <v>303</v>
      </c>
      <c r="E2923" s="227">
        <v>44258</v>
      </c>
      <c r="F2923" s="156">
        <v>510355.78</v>
      </c>
      <c r="G2923" s="131">
        <f t="shared" si="187"/>
        <v>91455.755776000005</v>
      </c>
      <c r="H2923" s="156">
        <v>7173.2</v>
      </c>
      <c r="I2923" s="156">
        <v>5635.97</v>
      </c>
      <c r="J2923" s="156">
        <v>0</v>
      </c>
      <c r="K2923" s="131">
        <f t="shared" si="188"/>
        <v>12809.17</v>
      </c>
      <c r="L2923" s="134">
        <v>0.1792</v>
      </c>
    </row>
    <row r="2924" spans="3:12">
      <c r="C2924" s="161">
        <f t="shared" si="186"/>
        <v>2021</v>
      </c>
      <c r="D2924" s="35" t="s">
        <v>303</v>
      </c>
      <c r="E2924" s="227">
        <v>44290</v>
      </c>
      <c r="F2924" s="156">
        <v>561586.06000000006</v>
      </c>
      <c r="G2924" s="131">
        <f t="shared" si="187"/>
        <v>100636.22195200001</v>
      </c>
      <c r="H2924" s="156">
        <v>11396.35</v>
      </c>
      <c r="I2924" s="156">
        <v>8346.75</v>
      </c>
      <c r="J2924" s="156">
        <v>0</v>
      </c>
      <c r="K2924" s="131">
        <f t="shared" si="188"/>
        <v>19743.099999999999</v>
      </c>
      <c r="L2924" s="134">
        <v>0.1792</v>
      </c>
    </row>
    <row r="2925" spans="3:12">
      <c r="C2925" s="161">
        <f t="shared" si="186"/>
        <v>2021</v>
      </c>
      <c r="D2925" s="35" t="s">
        <v>303</v>
      </c>
      <c r="E2925" s="227">
        <v>44321</v>
      </c>
      <c r="F2925" s="156">
        <v>524989.48</v>
      </c>
      <c r="G2925" s="131">
        <f t="shared" si="187"/>
        <v>94078.114816000001</v>
      </c>
      <c r="H2925" s="156">
        <v>12256.24</v>
      </c>
      <c r="I2925" s="156">
        <v>0</v>
      </c>
      <c r="J2925" s="156">
        <v>1978.92</v>
      </c>
      <c r="K2925" s="131">
        <f t="shared" si="188"/>
        <v>14235.16</v>
      </c>
      <c r="L2925" s="134">
        <v>0.1792</v>
      </c>
    </row>
    <row r="2926" spans="3:12">
      <c r="C2926" s="161">
        <f t="shared" si="186"/>
        <v>2021</v>
      </c>
      <c r="D2926" s="35" t="s">
        <v>303</v>
      </c>
      <c r="E2926" s="227">
        <v>44353</v>
      </c>
      <c r="F2926" s="156">
        <v>514783.32</v>
      </c>
      <c r="G2926" s="131">
        <f t="shared" si="187"/>
        <v>92249.170943999998</v>
      </c>
      <c r="H2926" s="156">
        <v>6685.4</v>
      </c>
      <c r="I2926" s="156">
        <v>0</v>
      </c>
      <c r="J2926" s="156">
        <v>0</v>
      </c>
      <c r="K2926" s="131">
        <f t="shared" si="188"/>
        <v>6685.4</v>
      </c>
      <c r="L2926" s="134">
        <v>0.1792</v>
      </c>
    </row>
    <row r="2927" spans="3:12">
      <c r="C2927" s="161">
        <f t="shared" si="186"/>
        <v>2015</v>
      </c>
      <c r="D2927" s="35" t="s">
        <v>304</v>
      </c>
      <c r="E2927" s="227">
        <v>42309</v>
      </c>
      <c r="F2927" s="156">
        <v>348439.57</v>
      </c>
      <c r="G2927" s="131">
        <f t="shared" si="187"/>
        <v>62440.370944000002</v>
      </c>
      <c r="H2927" s="156">
        <v>60698.82</v>
      </c>
      <c r="I2927" s="156">
        <v>0</v>
      </c>
      <c r="J2927" s="156">
        <v>0</v>
      </c>
      <c r="K2927" s="131">
        <f t="shared" si="188"/>
        <v>60698.82</v>
      </c>
      <c r="L2927" s="134">
        <v>0.1792</v>
      </c>
    </row>
    <row r="2928" spans="3:12">
      <c r="C2928" s="161">
        <f t="shared" si="186"/>
        <v>2015</v>
      </c>
      <c r="D2928" s="35" t="s">
        <v>304</v>
      </c>
      <c r="E2928" s="227">
        <v>42339</v>
      </c>
      <c r="F2928" s="156">
        <v>321858.28999999998</v>
      </c>
      <c r="G2928" s="131">
        <f t="shared" si="187"/>
        <v>57677.005567999993</v>
      </c>
      <c r="H2928" s="156">
        <v>1869.43</v>
      </c>
      <c r="I2928" s="156">
        <v>0</v>
      </c>
      <c r="J2928" s="156">
        <v>0</v>
      </c>
      <c r="K2928" s="131">
        <f t="shared" si="188"/>
        <v>1869.43</v>
      </c>
      <c r="L2928" s="134">
        <v>0.1792</v>
      </c>
    </row>
    <row r="2929" spans="3:12">
      <c r="C2929" s="161">
        <f t="shared" si="186"/>
        <v>2016</v>
      </c>
      <c r="D2929" s="35" t="s">
        <v>304</v>
      </c>
      <c r="E2929" s="227">
        <v>42370</v>
      </c>
      <c r="F2929" s="156">
        <v>340721.07</v>
      </c>
      <c r="G2929" s="131">
        <f t="shared" si="187"/>
        <v>61057.215744000001</v>
      </c>
      <c r="H2929" s="156">
        <v>86185.53</v>
      </c>
      <c r="I2929" s="156">
        <v>0</v>
      </c>
      <c r="J2929" s="156">
        <v>0</v>
      </c>
      <c r="K2929" s="131">
        <f t="shared" si="188"/>
        <v>86185.53</v>
      </c>
      <c r="L2929" s="134">
        <v>0.1792</v>
      </c>
    </row>
    <row r="2930" spans="3:12">
      <c r="C2930" s="161">
        <f t="shared" si="186"/>
        <v>2016</v>
      </c>
      <c r="D2930" s="35" t="s">
        <v>304</v>
      </c>
      <c r="E2930" s="227">
        <v>42401</v>
      </c>
      <c r="F2930" s="156">
        <v>355346.75</v>
      </c>
      <c r="G2930" s="131">
        <f t="shared" si="187"/>
        <v>63678.137600000002</v>
      </c>
      <c r="H2930" s="156">
        <v>131490.12</v>
      </c>
      <c r="I2930" s="156">
        <v>0</v>
      </c>
      <c r="J2930" s="156">
        <v>0</v>
      </c>
      <c r="K2930" s="131">
        <f t="shared" si="188"/>
        <v>131490.12</v>
      </c>
      <c r="L2930" s="134">
        <v>0.1792</v>
      </c>
    </row>
    <row r="2931" spans="3:12">
      <c r="C2931" s="161">
        <f t="shared" si="186"/>
        <v>2016</v>
      </c>
      <c r="D2931" s="35" t="s">
        <v>304</v>
      </c>
      <c r="E2931" s="227">
        <v>42430</v>
      </c>
      <c r="F2931" s="156">
        <v>319403.46999999997</v>
      </c>
      <c r="G2931" s="131">
        <f t="shared" si="187"/>
        <v>57237.101823999998</v>
      </c>
      <c r="H2931" s="156">
        <v>203643.36</v>
      </c>
      <c r="I2931" s="156">
        <v>0</v>
      </c>
      <c r="J2931" s="156">
        <v>0</v>
      </c>
      <c r="K2931" s="131">
        <f t="shared" si="188"/>
        <v>203643.36</v>
      </c>
      <c r="L2931" s="134">
        <v>0.1792</v>
      </c>
    </row>
    <row r="2932" spans="3:12">
      <c r="C2932" s="161">
        <f t="shared" si="186"/>
        <v>2016</v>
      </c>
      <c r="D2932" s="35" t="s">
        <v>304</v>
      </c>
      <c r="E2932" s="227">
        <v>42461</v>
      </c>
      <c r="F2932" s="156">
        <v>362296.64</v>
      </c>
      <c r="G2932" s="131">
        <f t="shared" si="187"/>
        <v>64923.557888000003</v>
      </c>
      <c r="H2932" s="156">
        <v>95771.44</v>
      </c>
      <c r="I2932" s="156">
        <v>0</v>
      </c>
      <c r="J2932" s="156">
        <v>0</v>
      </c>
      <c r="K2932" s="131">
        <f t="shared" si="188"/>
        <v>95771.44</v>
      </c>
      <c r="L2932" s="134">
        <v>0.1792</v>
      </c>
    </row>
    <row r="2933" spans="3:12">
      <c r="C2933" s="161">
        <f t="shared" si="186"/>
        <v>2016</v>
      </c>
      <c r="D2933" s="35" t="s">
        <v>304</v>
      </c>
      <c r="E2933" s="227">
        <v>42491</v>
      </c>
      <c r="F2933" s="156">
        <v>322258.21000000002</v>
      </c>
      <c r="G2933" s="131">
        <f t="shared" si="187"/>
        <v>57748.671232000001</v>
      </c>
      <c r="H2933" s="156">
        <v>17522.78</v>
      </c>
      <c r="I2933" s="156">
        <v>0</v>
      </c>
      <c r="J2933" s="156">
        <v>0</v>
      </c>
      <c r="K2933" s="131">
        <f t="shared" si="188"/>
        <v>17522.78</v>
      </c>
      <c r="L2933" s="134">
        <v>0.1792</v>
      </c>
    </row>
    <row r="2934" spans="3:12">
      <c r="C2934" s="161">
        <f t="shared" si="186"/>
        <v>2016</v>
      </c>
      <c r="D2934" s="35" t="s">
        <v>304</v>
      </c>
      <c r="E2934" s="227">
        <v>42522</v>
      </c>
      <c r="F2934" s="156">
        <v>318228.61</v>
      </c>
      <c r="G2934" s="131">
        <f t="shared" si="187"/>
        <v>57026.566911999995</v>
      </c>
      <c r="H2934" s="156">
        <v>98898.87</v>
      </c>
      <c r="I2934" s="156">
        <v>0</v>
      </c>
      <c r="J2934" s="156">
        <v>0</v>
      </c>
      <c r="K2934" s="131">
        <f t="shared" si="188"/>
        <v>98898.87</v>
      </c>
      <c r="L2934" s="134">
        <v>0.1792</v>
      </c>
    </row>
    <row r="2935" spans="3:12">
      <c r="C2935" s="161">
        <f t="shared" si="186"/>
        <v>2016</v>
      </c>
      <c r="D2935" s="35" t="s">
        <v>304</v>
      </c>
      <c r="E2935" s="227">
        <v>42552</v>
      </c>
      <c r="F2935" s="156">
        <v>343706.17</v>
      </c>
      <c r="G2935" s="131">
        <f t="shared" si="187"/>
        <v>61592.145663999996</v>
      </c>
      <c r="H2935" s="156">
        <v>5405.15</v>
      </c>
      <c r="I2935" s="156">
        <v>0</v>
      </c>
      <c r="J2935" s="156">
        <v>0</v>
      </c>
      <c r="K2935" s="131">
        <f t="shared" si="188"/>
        <v>5405.15</v>
      </c>
      <c r="L2935" s="134">
        <v>0.1792</v>
      </c>
    </row>
    <row r="2936" spans="3:12">
      <c r="C2936" s="161">
        <f t="shared" si="186"/>
        <v>2016</v>
      </c>
      <c r="D2936" s="35" t="s">
        <v>304</v>
      </c>
      <c r="E2936" s="227">
        <v>42583</v>
      </c>
      <c r="F2936" s="156">
        <v>356104.3</v>
      </c>
      <c r="G2936" s="131">
        <f t="shared" si="187"/>
        <v>63813.89056</v>
      </c>
      <c r="H2936" s="156">
        <v>39295.24</v>
      </c>
      <c r="I2936" s="156">
        <v>0</v>
      </c>
      <c r="J2936" s="156">
        <v>0</v>
      </c>
      <c r="K2936" s="131">
        <f t="shared" si="188"/>
        <v>39295.24</v>
      </c>
      <c r="L2936" s="134">
        <v>0.1792</v>
      </c>
    </row>
    <row r="2937" spans="3:12">
      <c r="C2937" s="161">
        <f t="shared" si="186"/>
        <v>2016</v>
      </c>
      <c r="D2937" s="35" t="s">
        <v>304</v>
      </c>
      <c r="E2937" s="227">
        <v>42614</v>
      </c>
      <c r="F2937" s="156">
        <v>344385.4</v>
      </c>
      <c r="G2937" s="131">
        <f t="shared" si="187"/>
        <v>61713.863680000002</v>
      </c>
      <c r="H2937" s="156">
        <v>1739.93</v>
      </c>
      <c r="I2937" s="156">
        <v>0</v>
      </c>
      <c r="J2937" s="156">
        <v>0</v>
      </c>
      <c r="K2937" s="131">
        <f t="shared" si="188"/>
        <v>1739.93</v>
      </c>
      <c r="L2937" s="134">
        <v>0.1792</v>
      </c>
    </row>
    <row r="2938" spans="3:12">
      <c r="C2938" s="161">
        <f t="shared" si="186"/>
        <v>2016</v>
      </c>
      <c r="D2938" s="35" t="s">
        <v>304</v>
      </c>
      <c r="E2938" s="227">
        <v>42644</v>
      </c>
      <c r="F2938" s="156">
        <v>374439.7</v>
      </c>
      <c r="G2938" s="131">
        <f t="shared" si="187"/>
        <v>67099.594240000006</v>
      </c>
      <c r="H2938" s="156">
        <v>1897.74</v>
      </c>
      <c r="I2938" s="156">
        <v>0</v>
      </c>
      <c r="J2938" s="156">
        <v>0</v>
      </c>
      <c r="K2938" s="131">
        <f t="shared" si="188"/>
        <v>1897.74</v>
      </c>
      <c r="L2938" s="134">
        <v>0.1792</v>
      </c>
    </row>
    <row r="2939" spans="3:12">
      <c r="C2939" s="161">
        <f t="shared" si="186"/>
        <v>2016</v>
      </c>
      <c r="D2939" s="35" t="s">
        <v>304</v>
      </c>
      <c r="E2939" s="227">
        <v>42675</v>
      </c>
      <c r="F2939" s="156">
        <v>390039.44</v>
      </c>
      <c r="G2939" s="131">
        <f t="shared" si="187"/>
        <v>69895.067647999997</v>
      </c>
      <c r="H2939" s="156">
        <v>53409.2</v>
      </c>
      <c r="I2939" s="156">
        <v>0</v>
      </c>
      <c r="J2939" s="156">
        <v>0</v>
      </c>
      <c r="K2939" s="131">
        <f t="shared" si="188"/>
        <v>53409.2</v>
      </c>
      <c r="L2939" s="134">
        <v>0.1792</v>
      </c>
    </row>
    <row r="2940" spans="3:12">
      <c r="C2940" s="161">
        <f t="shared" si="186"/>
        <v>2016</v>
      </c>
      <c r="D2940" s="35" t="s">
        <v>304</v>
      </c>
      <c r="E2940" s="227">
        <v>42705</v>
      </c>
      <c r="F2940" s="156">
        <v>390259.58</v>
      </c>
      <c r="G2940" s="131">
        <f t="shared" si="187"/>
        <v>69934.516736000005</v>
      </c>
      <c r="H2940" s="156">
        <v>28862.29</v>
      </c>
      <c r="I2940" s="156">
        <v>0</v>
      </c>
      <c r="J2940" s="156">
        <v>0</v>
      </c>
      <c r="K2940" s="131">
        <f t="shared" si="188"/>
        <v>28862.29</v>
      </c>
      <c r="L2940" s="134">
        <v>0.1792</v>
      </c>
    </row>
    <row r="2941" spans="3:12">
      <c r="C2941" s="161">
        <f t="shared" si="186"/>
        <v>2017</v>
      </c>
      <c r="D2941" s="35" t="s">
        <v>304</v>
      </c>
      <c r="E2941" s="227">
        <v>42736</v>
      </c>
      <c r="F2941" s="156">
        <v>413534.55</v>
      </c>
      <c r="G2941" s="131">
        <f t="shared" si="187"/>
        <v>74105.391359999994</v>
      </c>
      <c r="H2941" s="156">
        <v>4780.8500000000004</v>
      </c>
      <c r="I2941" s="156">
        <v>0</v>
      </c>
      <c r="J2941" s="156">
        <v>266</v>
      </c>
      <c r="K2941" s="131">
        <f t="shared" si="188"/>
        <v>5046.8500000000004</v>
      </c>
      <c r="L2941" s="134">
        <v>0.1792</v>
      </c>
    </row>
    <row r="2942" spans="3:12">
      <c r="C2942" s="161">
        <f t="shared" si="186"/>
        <v>2017</v>
      </c>
      <c r="D2942" s="35" t="s">
        <v>304</v>
      </c>
      <c r="E2942" s="227">
        <v>42767</v>
      </c>
      <c r="F2942" s="156">
        <v>414399.89</v>
      </c>
      <c r="G2942" s="131">
        <f t="shared" si="187"/>
        <v>74260.460288000002</v>
      </c>
      <c r="H2942" s="156">
        <v>3220.1</v>
      </c>
      <c r="I2942" s="156">
        <v>0</v>
      </c>
      <c r="J2942" s="156">
        <v>974.2</v>
      </c>
      <c r="K2942" s="131">
        <f t="shared" si="188"/>
        <v>4194.3</v>
      </c>
      <c r="L2942" s="134">
        <v>0.1792</v>
      </c>
    </row>
    <row r="2943" spans="3:12">
      <c r="C2943" s="161">
        <f t="shared" si="186"/>
        <v>2017</v>
      </c>
      <c r="D2943" s="35" t="s">
        <v>304</v>
      </c>
      <c r="E2943" s="227">
        <v>42795</v>
      </c>
      <c r="F2943" s="156">
        <v>368488.6</v>
      </c>
      <c r="G2943" s="131">
        <f t="shared" si="187"/>
        <v>66033.157119999989</v>
      </c>
      <c r="H2943" s="156">
        <v>3056.37</v>
      </c>
      <c r="I2943" s="156">
        <v>0</v>
      </c>
      <c r="J2943" s="156">
        <v>336.2</v>
      </c>
      <c r="K2943" s="131">
        <f t="shared" si="188"/>
        <v>3392.5699999999997</v>
      </c>
      <c r="L2943" s="134">
        <v>0.1792</v>
      </c>
    </row>
    <row r="2944" spans="3:12">
      <c r="C2944" s="161">
        <f t="shared" si="186"/>
        <v>2017</v>
      </c>
      <c r="D2944" s="35" t="s">
        <v>304</v>
      </c>
      <c r="E2944" s="227">
        <v>42826</v>
      </c>
      <c r="F2944" s="156">
        <v>376410.31</v>
      </c>
      <c r="G2944" s="131">
        <f t="shared" si="187"/>
        <v>67452.727551999997</v>
      </c>
      <c r="H2944" s="156">
        <v>1239.79</v>
      </c>
      <c r="I2944" s="156">
        <v>0</v>
      </c>
      <c r="J2944" s="156">
        <v>0</v>
      </c>
      <c r="K2944" s="131">
        <f t="shared" si="188"/>
        <v>1239.79</v>
      </c>
      <c r="L2944" s="134">
        <v>0.1792</v>
      </c>
    </row>
    <row r="2945" spans="3:12">
      <c r="C2945" s="161">
        <f t="shared" si="186"/>
        <v>2017</v>
      </c>
      <c r="D2945" s="35" t="s">
        <v>304</v>
      </c>
      <c r="E2945" s="227">
        <v>42856</v>
      </c>
      <c r="F2945" s="156">
        <v>348124.91</v>
      </c>
      <c r="G2945" s="131">
        <f t="shared" si="187"/>
        <v>62383.983871999997</v>
      </c>
      <c r="H2945" s="156">
        <v>7713.07</v>
      </c>
      <c r="I2945" s="156">
        <v>0</v>
      </c>
      <c r="J2945" s="156">
        <v>0</v>
      </c>
      <c r="K2945" s="131">
        <f t="shared" si="188"/>
        <v>7713.07</v>
      </c>
      <c r="L2945" s="134">
        <v>0.1792</v>
      </c>
    </row>
    <row r="2946" spans="3:12">
      <c r="C2946" s="161">
        <f t="shared" si="186"/>
        <v>2017</v>
      </c>
      <c r="D2946" s="35" t="s">
        <v>304</v>
      </c>
      <c r="E2946" s="227">
        <v>42887</v>
      </c>
      <c r="F2946" s="156">
        <v>334634.90000000002</v>
      </c>
      <c r="G2946" s="131">
        <f t="shared" si="187"/>
        <v>59966.574080000006</v>
      </c>
      <c r="H2946" s="156">
        <v>17456.169999999998</v>
      </c>
      <c r="I2946" s="156">
        <v>0</v>
      </c>
      <c r="J2946" s="156">
        <v>0</v>
      </c>
      <c r="K2946" s="131">
        <f t="shared" si="188"/>
        <v>17456.169999999998</v>
      </c>
      <c r="L2946" s="134">
        <v>0.1792</v>
      </c>
    </row>
    <row r="2947" spans="3:12">
      <c r="C2947" s="161">
        <f t="shared" si="186"/>
        <v>2017</v>
      </c>
      <c r="D2947" s="35" t="s">
        <v>304</v>
      </c>
      <c r="E2947" s="227">
        <v>42917</v>
      </c>
      <c r="F2947" s="156">
        <v>367464.85</v>
      </c>
      <c r="G2947" s="131">
        <f t="shared" si="187"/>
        <v>65849.701119999998</v>
      </c>
      <c r="H2947" s="156">
        <v>3558.31</v>
      </c>
      <c r="I2947" s="156">
        <v>0</v>
      </c>
      <c r="J2947" s="156">
        <v>0</v>
      </c>
      <c r="K2947" s="131">
        <f t="shared" si="188"/>
        <v>3558.31</v>
      </c>
      <c r="L2947" s="134">
        <v>0.1792</v>
      </c>
    </row>
    <row r="2948" spans="3:12">
      <c r="C2948" s="161">
        <f t="shared" ref="C2948:C3011" si="189">YEAR(E2948)</f>
        <v>2017</v>
      </c>
      <c r="D2948" s="35" t="s">
        <v>304</v>
      </c>
      <c r="E2948" s="227">
        <v>42948</v>
      </c>
      <c r="F2948" s="156">
        <v>394296.98</v>
      </c>
      <c r="G2948" s="131">
        <f t="shared" ref="G2948:G3011" si="190">F2948*L2948</f>
        <v>70658.018815999996</v>
      </c>
      <c r="H2948" s="156">
        <v>2040.63</v>
      </c>
      <c r="I2948" s="156">
        <v>0</v>
      </c>
      <c r="J2948" s="156">
        <v>0</v>
      </c>
      <c r="K2948" s="131">
        <f t="shared" ref="K2948:K3011" si="191">SUM(H2948:J2948)</f>
        <v>2040.63</v>
      </c>
      <c r="L2948" s="134">
        <v>0.1792</v>
      </c>
    </row>
    <row r="2949" spans="3:12">
      <c r="C2949" s="161">
        <f t="shared" si="189"/>
        <v>2017</v>
      </c>
      <c r="D2949" s="35" t="s">
        <v>304</v>
      </c>
      <c r="E2949" s="227">
        <v>42979</v>
      </c>
      <c r="F2949" s="156">
        <v>419018.75</v>
      </c>
      <c r="G2949" s="131">
        <f t="shared" si="190"/>
        <v>75088.160000000003</v>
      </c>
      <c r="H2949" s="156">
        <v>2096.14</v>
      </c>
      <c r="I2949" s="156">
        <v>0</v>
      </c>
      <c r="J2949" s="156">
        <v>0</v>
      </c>
      <c r="K2949" s="131">
        <f t="shared" si="191"/>
        <v>2096.14</v>
      </c>
      <c r="L2949" s="134">
        <v>0.1792</v>
      </c>
    </row>
    <row r="2950" spans="3:12">
      <c r="C2950" s="161">
        <f t="shared" si="189"/>
        <v>2017</v>
      </c>
      <c r="D2950" s="35" t="s">
        <v>304</v>
      </c>
      <c r="E2950" s="227">
        <v>43009</v>
      </c>
      <c r="F2950" s="156">
        <v>400225.25</v>
      </c>
      <c r="G2950" s="131">
        <f t="shared" si="190"/>
        <v>71720.364799999996</v>
      </c>
      <c r="H2950" s="156">
        <v>197644.28</v>
      </c>
      <c r="I2950" s="156">
        <v>0</v>
      </c>
      <c r="J2950" s="156">
        <v>0</v>
      </c>
      <c r="K2950" s="131">
        <f t="shared" si="191"/>
        <v>197644.28</v>
      </c>
      <c r="L2950" s="134">
        <v>0.1792</v>
      </c>
    </row>
    <row r="2951" spans="3:12">
      <c r="C2951" s="161">
        <f t="shared" si="189"/>
        <v>2017</v>
      </c>
      <c r="D2951" s="35" t="s">
        <v>304</v>
      </c>
      <c r="E2951" s="227">
        <v>43040</v>
      </c>
      <c r="F2951" s="156">
        <v>384090.35</v>
      </c>
      <c r="G2951" s="131">
        <f t="shared" si="190"/>
        <v>68828.990720000002</v>
      </c>
      <c r="H2951" s="156">
        <v>27287.3</v>
      </c>
      <c r="I2951" s="156">
        <v>0</v>
      </c>
      <c r="J2951" s="156">
        <v>0</v>
      </c>
      <c r="K2951" s="131">
        <f t="shared" si="191"/>
        <v>27287.3</v>
      </c>
      <c r="L2951" s="134">
        <v>0.1792</v>
      </c>
    </row>
    <row r="2952" spans="3:12">
      <c r="C2952" s="161">
        <f t="shared" si="189"/>
        <v>2017</v>
      </c>
      <c r="D2952" s="35" t="s">
        <v>304</v>
      </c>
      <c r="E2952" s="227">
        <v>43070</v>
      </c>
      <c r="F2952" s="156">
        <v>426370.03</v>
      </c>
      <c r="G2952" s="131">
        <f t="shared" si="190"/>
        <v>76405.509376000002</v>
      </c>
      <c r="H2952" s="156">
        <v>197640.05</v>
      </c>
      <c r="I2952" s="156">
        <v>0</v>
      </c>
      <c r="J2952" s="156">
        <v>0</v>
      </c>
      <c r="K2952" s="131">
        <f t="shared" si="191"/>
        <v>197640.05</v>
      </c>
      <c r="L2952" s="134">
        <v>0.1792</v>
      </c>
    </row>
    <row r="2953" spans="3:12">
      <c r="C2953" s="161">
        <f t="shared" si="189"/>
        <v>2018</v>
      </c>
      <c r="D2953" s="35" t="s">
        <v>304</v>
      </c>
      <c r="E2953" s="227">
        <v>43101</v>
      </c>
      <c r="F2953" s="156">
        <v>405001.75</v>
      </c>
      <c r="G2953" s="131">
        <f t="shared" si="190"/>
        <v>72576.313599999994</v>
      </c>
      <c r="H2953" s="156">
        <v>554.66</v>
      </c>
      <c r="I2953" s="156">
        <v>0</v>
      </c>
      <c r="J2953" s="156">
        <v>0</v>
      </c>
      <c r="K2953" s="131">
        <f t="shared" si="191"/>
        <v>554.66</v>
      </c>
      <c r="L2953" s="134">
        <v>0.1792</v>
      </c>
    </row>
    <row r="2954" spans="3:12">
      <c r="C2954" s="161">
        <f t="shared" si="189"/>
        <v>2018</v>
      </c>
      <c r="D2954" s="35" t="s">
        <v>304</v>
      </c>
      <c r="E2954" s="227">
        <v>43132</v>
      </c>
      <c r="F2954" s="156">
        <v>408020.11</v>
      </c>
      <c r="G2954" s="131">
        <f t="shared" si="190"/>
        <v>73117.203712000002</v>
      </c>
      <c r="H2954" s="156">
        <v>10166.790000000001</v>
      </c>
      <c r="I2954" s="156">
        <v>0</v>
      </c>
      <c r="J2954" s="156">
        <v>0</v>
      </c>
      <c r="K2954" s="131">
        <f t="shared" si="191"/>
        <v>10166.790000000001</v>
      </c>
      <c r="L2954" s="134">
        <v>0.1792</v>
      </c>
    </row>
    <row r="2955" spans="3:12">
      <c r="C2955" s="161">
        <f t="shared" si="189"/>
        <v>2018</v>
      </c>
      <c r="D2955" s="35" t="s">
        <v>304</v>
      </c>
      <c r="E2955" s="227">
        <v>43160</v>
      </c>
      <c r="F2955" s="156">
        <v>379506.82</v>
      </c>
      <c r="G2955" s="131">
        <f t="shared" si="190"/>
        <v>68007.622143999994</v>
      </c>
      <c r="H2955" s="156">
        <v>8103.12</v>
      </c>
      <c r="I2955" s="156">
        <v>0</v>
      </c>
      <c r="J2955" s="156">
        <v>0</v>
      </c>
      <c r="K2955" s="131">
        <f t="shared" si="191"/>
        <v>8103.12</v>
      </c>
      <c r="L2955" s="134">
        <v>0.1792</v>
      </c>
    </row>
    <row r="2956" spans="3:12">
      <c r="C2956" s="161">
        <f t="shared" si="189"/>
        <v>2018</v>
      </c>
      <c r="D2956" s="35" t="s">
        <v>304</v>
      </c>
      <c r="E2956" s="227">
        <v>43191</v>
      </c>
      <c r="F2956" s="156">
        <v>408845.58</v>
      </c>
      <c r="G2956" s="131">
        <f t="shared" si="190"/>
        <v>73265.127936000004</v>
      </c>
      <c r="H2956" s="156">
        <v>3042</v>
      </c>
      <c r="I2956" s="156">
        <v>0</v>
      </c>
      <c r="J2956" s="156">
        <v>0</v>
      </c>
      <c r="K2956" s="131">
        <f t="shared" si="191"/>
        <v>3042</v>
      </c>
      <c r="L2956" s="134">
        <v>0.1792</v>
      </c>
    </row>
    <row r="2957" spans="3:12">
      <c r="C2957" s="161">
        <f t="shared" si="189"/>
        <v>2018</v>
      </c>
      <c r="D2957" s="35" t="s">
        <v>304</v>
      </c>
      <c r="E2957" s="227">
        <v>43221</v>
      </c>
      <c r="F2957" s="156">
        <v>410160.07</v>
      </c>
      <c r="G2957" s="131">
        <f t="shared" si="190"/>
        <v>73500.684544000003</v>
      </c>
      <c r="H2957" s="156">
        <v>1607.69</v>
      </c>
      <c r="I2957" s="156">
        <v>0</v>
      </c>
      <c r="J2957" s="156">
        <v>27701.06</v>
      </c>
      <c r="K2957" s="131">
        <f t="shared" si="191"/>
        <v>29308.75</v>
      </c>
      <c r="L2957" s="134">
        <v>0.1792</v>
      </c>
    </row>
    <row r="2958" spans="3:12">
      <c r="C2958" s="161">
        <f t="shared" si="189"/>
        <v>2018</v>
      </c>
      <c r="D2958" s="35" t="s">
        <v>304</v>
      </c>
      <c r="E2958" s="227">
        <v>43252</v>
      </c>
      <c r="F2958" s="156">
        <v>377663.79</v>
      </c>
      <c r="G2958" s="131">
        <f t="shared" si="190"/>
        <v>67677.351167999994</v>
      </c>
      <c r="H2958" s="156">
        <v>75174.52</v>
      </c>
      <c r="I2958" s="156">
        <v>0</v>
      </c>
      <c r="J2958" s="156">
        <v>0</v>
      </c>
      <c r="K2958" s="131">
        <f t="shared" si="191"/>
        <v>75174.52</v>
      </c>
      <c r="L2958" s="134">
        <v>0.1792</v>
      </c>
    </row>
    <row r="2959" spans="3:12">
      <c r="C2959" s="161">
        <f t="shared" si="189"/>
        <v>2018</v>
      </c>
      <c r="D2959" s="35" t="s">
        <v>304</v>
      </c>
      <c r="E2959" s="227">
        <v>43282</v>
      </c>
      <c r="F2959" s="156">
        <v>393094.3</v>
      </c>
      <c r="G2959" s="131">
        <f t="shared" si="190"/>
        <v>70442.498559999993</v>
      </c>
      <c r="H2959" s="156">
        <v>77594.94</v>
      </c>
      <c r="I2959" s="156">
        <v>0</v>
      </c>
      <c r="J2959" s="156">
        <v>8123.61</v>
      </c>
      <c r="K2959" s="131">
        <f t="shared" si="191"/>
        <v>85718.55</v>
      </c>
      <c r="L2959" s="134">
        <v>0.1792</v>
      </c>
    </row>
    <row r="2960" spans="3:12">
      <c r="C2960" s="161">
        <f t="shared" si="189"/>
        <v>2018</v>
      </c>
      <c r="D2960" s="35" t="s">
        <v>304</v>
      </c>
      <c r="E2960" s="227">
        <v>43313</v>
      </c>
      <c r="F2960" s="156">
        <v>366897.03</v>
      </c>
      <c r="G2960" s="131">
        <f t="shared" si="190"/>
        <v>65747.947776000001</v>
      </c>
      <c r="H2960" s="156">
        <v>781.4</v>
      </c>
      <c r="I2960" s="156">
        <v>0</v>
      </c>
      <c r="J2960" s="156">
        <v>8628.93</v>
      </c>
      <c r="K2960" s="131">
        <f t="shared" si="191"/>
        <v>9410.33</v>
      </c>
      <c r="L2960" s="134">
        <v>0.1792</v>
      </c>
    </row>
    <row r="2961" spans="3:12">
      <c r="C2961" s="161">
        <f t="shared" si="189"/>
        <v>2018</v>
      </c>
      <c r="D2961" s="35" t="s">
        <v>304</v>
      </c>
      <c r="E2961" s="227">
        <v>43344</v>
      </c>
      <c r="F2961" s="156">
        <v>401604.1</v>
      </c>
      <c r="G2961" s="131">
        <f t="shared" si="190"/>
        <v>71967.454719999994</v>
      </c>
      <c r="H2961" s="156">
        <v>15063.91</v>
      </c>
      <c r="I2961" s="156">
        <v>0</v>
      </c>
      <c r="J2961" s="156">
        <v>0</v>
      </c>
      <c r="K2961" s="131">
        <f t="shared" si="191"/>
        <v>15063.91</v>
      </c>
      <c r="L2961" s="134">
        <v>0.1792</v>
      </c>
    </row>
    <row r="2962" spans="3:12">
      <c r="C2962" s="161">
        <f t="shared" si="189"/>
        <v>2018</v>
      </c>
      <c r="D2962" s="35" t="s">
        <v>304</v>
      </c>
      <c r="E2962" s="227">
        <v>43374</v>
      </c>
      <c r="F2962" s="156">
        <v>376489.14</v>
      </c>
      <c r="G2962" s="131">
        <f t="shared" si="190"/>
        <v>67466.853887999998</v>
      </c>
      <c r="H2962" s="156">
        <v>36375.01</v>
      </c>
      <c r="I2962" s="156">
        <v>0</v>
      </c>
      <c r="J2962" s="156">
        <v>0</v>
      </c>
      <c r="K2962" s="131">
        <f t="shared" si="191"/>
        <v>36375.01</v>
      </c>
      <c r="L2962" s="134">
        <v>0.1792</v>
      </c>
    </row>
    <row r="2963" spans="3:12">
      <c r="C2963" s="161">
        <f t="shared" si="189"/>
        <v>2018</v>
      </c>
      <c r="D2963" s="35" t="s">
        <v>304</v>
      </c>
      <c r="E2963" s="227">
        <v>43405</v>
      </c>
      <c r="F2963" s="156">
        <v>426656.48767499998</v>
      </c>
      <c r="G2963" s="131">
        <f t="shared" si="190"/>
        <v>76456.842591359993</v>
      </c>
      <c r="H2963" s="156">
        <v>47960.49</v>
      </c>
      <c r="I2963" s="156">
        <v>0</v>
      </c>
      <c r="J2963" s="156">
        <v>43222.5</v>
      </c>
      <c r="K2963" s="131">
        <f t="shared" si="191"/>
        <v>91182.989999999991</v>
      </c>
      <c r="L2963" s="134">
        <v>0.1792</v>
      </c>
    </row>
    <row r="2964" spans="3:12">
      <c r="C2964" s="161">
        <f t="shared" si="189"/>
        <v>2018</v>
      </c>
      <c r="D2964" s="35" t="s">
        <v>304</v>
      </c>
      <c r="E2964" s="227">
        <v>43435</v>
      </c>
      <c r="F2964" s="156">
        <v>453389.28</v>
      </c>
      <c r="G2964" s="131">
        <f t="shared" si="190"/>
        <v>81247.358976000003</v>
      </c>
      <c r="H2964" s="156">
        <v>34643.589999999997</v>
      </c>
      <c r="I2964" s="156" t="s">
        <v>267</v>
      </c>
      <c r="J2964" s="156" t="s">
        <v>267</v>
      </c>
      <c r="K2964" s="131">
        <f t="shared" si="191"/>
        <v>34643.589999999997</v>
      </c>
      <c r="L2964" s="134">
        <v>0.1792</v>
      </c>
    </row>
    <row r="2965" spans="3:12">
      <c r="C2965" s="161">
        <f t="shared" si="189"/>
        <v>2019</v>
      </c>
      <c r="D2965" s="35" t="s">
        <v>304</v>
      </c>
      <c r="E2965" s="227">
        <v>43466</v>
      </c>
      <c r="F2965" s="156">
        <v>454700.14</v>
      </c>
      <c r="G2965" s="131">
        <f t="shared" si="190"/>
        <v>81482.265088</v>
      </c>
      <c r="H2965" s="156">
        <v>73769.84</v>
      </c>
      <c r="I2965" s="156">
        <v>161273.26</v>
      </c>
      <c r="J2965" s="156">
        <v>0</v>
      </c>
      <c r="K2965" s="131">
        <f t="shared" si="191"/>
        <v>235043.1</v>
      </c>
      <c r="L2965" s="134">
        <v>0.1792</v>
      </c>
    </row>
    <row r="2966" spans="3:12">
      <c r="C2966" s="161">
        <f t="shared" si="189"/>
        <v>2019</v>
      </c>
      <c r="D2966" s="35" t="s">
        <v>304</v>
      </c>
      <c r="E2966" s="227">
        <v>43497</v>
      </c>
      <c r="F2966" s="156">
        <v>450511.98</v>
      </c>
      <c r="G2966" s="131">
        <f t="shared" si="190"/>
        <v>80731.746815999999</v>
      </c>
      <c r="H2966" s="156">
        <v>1564.44</v>
      </c>
      <c r="I2966" s="156">
        <v>33955.71</v>
      </c>
      <c r="J2966" s="156">
        <v>0</v>
      </c>
      <c r="K2966" s="131">
        <f t="shared" si="191"/>
        <v>35520.15</v>
      </c>
      <c r="L2966" s="134">
        <v>0.1792</v>
      </c>
    </row>
    <row r="2967" spans="3:12">
      <c r="C2967" s="161">
        <f t="shared" si="189"/>
        <v>2019</v>
      </c>
      <c r="D2967" s="35" t="s">
        <v>304</v>
      </c>
      <c r="E2967" s="227">
        <v>43525</v>
      </c>
      <c r="F2967" s="156">
        <v>386922.13</v>
      </c>
      <c r="G2967" s="131">
        <f t="shared" si="190"/>
        <v>69336.445695999995</v>
      </c>
      <c r="H2967" s="156">
        <v>1488.06</v>
      </c>
      <c r="I2967" s="156">
        <v>0</v>
      </c>
      <c r="J2967" s="156">
        <v>0</v>
      </c>
      <c r="K2967" s="131">
        <f t="shared" si="191"/>
        <v>1488.06</v>
      </c>
      <c r="L2967" s="134">
        <v>0.1792</v>
      </c>
    </row>
    <row r="2968" spans="3:12">
      <c r="C2968" s="161">
        <f t="shared" si="189"/>
        <v>2019</v>
      </c>
      <c r="D2968" s="35" t="s">
        <v>304</v>
      </c>
      <c r="E2968" s="227">
        <v>43556</v>
      </c>
      <c r="F2968" s="156">
        <v>416017.62</v>
      </c>
      <c r="G2968" s="131">
        <f t="shared" si="190"/>
        <v>74550.357504</v>
      </c>
      <c r="H2968" s="156">
        <v>3930.99</v>
      </c>
      <c r="I2968" s="156">
        <v>0</v>
      </c>
      <c r="J2968" s="156">
        <v>0</v>
      </c>
      <c r="K2968" s="131">
        <f t="shared" si="191"/>
        <v>3930.99</v>
      </c>
      <c r="L2968" s="134">
        <v>0.1792</v>
      </c>
    </row>
    <row r="2969" spans="3:12">
      <c r="C2969" s="161">
        <f t="shared" si="189"/>
        <v>2019</v>
      </c>
      <c r="D2969" s="35" t="s">
        <v>304</v>
      </c>
      <c r="E2969" s="227">
        <v>43586</v>
      </c>
      <c r="F2969" s="156">
        <v>392201.29</v>
      </c>
      <c r="G2969" s="131">
        <f t="shared" si="190"/>
        <v>70282.471167999989</v>
      </c>
      <c r="H2969" s="156">
        <v>2096.9899999999998</v>
      </c>
      <c r="I2969" s="156">
        <v>0</v>
      </c>
      <c r="J2969" s="156">
        <v>0</v>
      </c>
      <c r="K2969" s="131">
        <f t="shared" si="191"/>
        <v>2096.9899999999998</v>
      </c>
      <c r="L2969" s="134">
        <v>0.1792</v>
      </c>
    </row>
    <row r="2970" spans="3:12">
      <c r="C2970" s="161">
        <f t="shared" si="189"/>
        <v>2019</v>
      </c>
      <c r="D2970" s="35" t="s">
        <v>304</v>
      </c>
      <c r="E2970" s="227">
        <v>43617</v>
      </c>
      <c r="F2970" s="156">
        <v>390277.21</v>
      </c>
      <c r="G2970" s="131">
        <f t="shared" si="190"/>
        <v>69937.676032000003</v>
      </c>
      <c r="H2970" s="156">
        <v>16441.060000000001</v>
      </c>
      <c r="I2970" s="156">
        <v>0</v>
      </c>
      <c r="J2970" s="156">
        <v>0</v>
      </c>
      <c r="K2970" s="131">
        <f t="shared" si="191"/>
        <v>16441.060000000001</v>
      </c>
      <c r="L2970" s="134">
        <v>0.1792</v>
      </c>
    </row>
    <row r="2971" spans="3:12">
      <c r="C2971" s="161">
        <f t="shared" si="189"/>
        <v>2019</v>
      </c>
      <c r="D2971" s="35" t="s">
        <v>304</v>
      </c>
      <c r="E2971" s="227">
        <v>43647</v>
      </c>
      <c r="F2971" s="156">
        <v>398350.2</v>
      </c>
      <c r="G2971" s="131">
        <f t="shared" si="190"/>
        <v>71384.355840000004</v>
      </c>
      <c r="H2971" s="156">
        <v>15565.82</v>
      </c>
      <c r="I2971" s="156">
        <v>0</v>
      </c>
      <c r="J2971" s="156">
        <v>3632.6</v>
      </c>
      <c r="K2971" s="131">
        <f t="shared" si="191"/>
        <v>19198.419999999998</v>
      </c>
      <c r="L2971" s="134">
        <v>0.1792</v>
      </c>
    </row>
    <row r="2972" spans="3:12">
      <c r="C2972" s="161">
        <f t="shared" si="189"/>
        <v>2019</v>
      </c>
      <c r="D2972" s="35" t="s">
        <v>304</v>
      </c>
      <c r="E2972" s="227">
        <v>43678</v>
      </c>
      <c r="F2972" s="156">
        <v>425447.96</v>
      </c>
      <c r="G2972" s="131">
        <f t="shared" si="190"/>
        <v>76240.274432000006</v>
      </c>
      <c r="H2972" s="156">
        <v>3180.11</v>
      </c>
      <c r="I2972" s="156">
        <v>0</v>
      </c>
      <c r="J2972" s="156">
        <v>0</v>
      </c>
      <c r="K2972" s="131">
        <f t="shared" si="191"/>
        <v>3180.11</v>
      </c>
      <c r="L2972" s="134">
        <v>0.1792</v>
      </c>
    </row>
    <row r="2973" spans="3:12">
      <c r="C2973" s="161">
        <f t="shared" si="189"/>
        <v>2019</v>
      </c>
      <c r="D2973" s="35" t="s">
        <v>304</v>
      </c>
      <c r="E2973" s="227">
        <v>43709</v>
      </c>
      <c r="F2973" s="156">
        <v>470681.64</v>
      </c>
      <c r="G2973" s="131">
        <f t="shared" si="190"/>
        <v>84346.149888</v>
      </c>
      <c r="H2973" s="156">
        <v>2226.4499999999998</v>
      </c>
      <c r="I2973" s="156">
        <v>0</v>
      </c>
      <c r="J2973" s="156">
        <v>0</v>
      </c>
      <c r="K2973" s="131">
        <f t="shared" si="191"/>
        <v>2226.4499999999998</v>
      </c>
      <c r="L2973" s="134">
        <v>0.1792</v>
      </c>
    </row>
    <row r="2974" spans="3:12">
      <c r="C2974" s="161">
        <f t="shared" si="189"/>
        <v>2019</v>
      </c>
      <c r="D2974" s="35" t="s">
        <v>304</v>
      </c>
      <c r="E2974" s="227">
        <v>43739</v>
      </c>
      <c r="F2974" s="156">
        <v>454965.25</v>
      </c>
      <c r="G2974" s="131">
        <f t="shared" si="190"/>
        <v>81529.772800000006</v>
      </c>
      <c r="H2974" s="156">
        <v>4291.51</v>
      </c>
      <c r="I2974" s="156">
        <v>0</v>
      </c>
      <c r="J2974" s="156">
        <v>0</v>
      </c>
      <c r="K2974" s="131">
        <f t="shared" si="191"/>
        <v>4291.51</v>
      </c>
      <c r="L2974" s="134">
        <v>0.1792</v>
      </c>
    </row>
    <row r="2975" spans="3:12">
      <c r="C2975" s="161">
        <f t="shared" si="189"/>
        <v>2019</v>
      </c>
      <c r="D2975" s="35" t="s">
        <v>304</v>
      </c>
      <c r="E2975" s="227">
        <v>43770</v>
      </c>
      <c r="F2975" s="156">
        <v>506769.44</v>
      </c>
      <c r="G2975" s="131">
        <f t="shared" si="190"/>
        <v>90813.083648</v>
      </c>
      <c r="H2975" s="156">
        <v>1762.12</v>
      </c>
      <c r="I2975" s="156">
        <v>0</v>
      </c>
      <c r="J2975" s="156">
        <v>0</v>
      </c>
      <c r="K2975" s="131">
        <f t="shared" si="191"/>
        <v>1762.12</v>
      </c>
      <c r="L2975" s="134">
        <v>0.1792</v>
      </c>
    </row>
    <row r="2976" spans="3:12">
      <c r="C2976" s="161">
        <f t="shared" si="189"/>
        <v>2019</v>
      </c>
      <c r="D2976" s="35" t="s">
        <v>304</v>
      </c>
      <c r="E2976" s="227">
        <v>43800</v>
      </c>
      <c r="F2976" s="156">
        <v>453400.44</v>
      </c>
      <c r="G2976" s="131">
        <f t="shared" si="190"/>
        <v>81249.358848000003</v>
      </c>
      <c r="H2976" s="156">
        <v>853.92</v>
      </c>
      <c r="I2976" s="156">
        <v>0</v>
      </c>
      <c r="J2976" s="156">
        <v>0</v>
      </c>
      <c r="K2976" s="131">
        <f t="shared" si="191"/>
        <v>853.92</v>
      </c>
      <c r="L2976" s="134">
        <v>0.1792</v>
      </c>
    </row>
    <row r="2977" spans="3:12">
      <c r="C2977" s="161">
        <f t="shared" si="189"/>
        <v>2020</v>
      </c>
      <c r="D2977" s="35" t="s">
        <v>304</v>
      </c>
      <c r="E2977" s="227">
        <v>43831</v>
      </c>
      <c r="F2977" s="156">
        <v>447104.46</v>
      </c>
      <c r="G2977" s="131">
        <f t="shared" si="190"/>
        <v>80121.119231999997</v>
      </c>
      <c r="H2977" s="156">
        <v>10184.4</v>
      </c>
      <c r="I2977" s="156">
        <v>0</v>
      </c>
      <c r="J2977" s="156">
        <v>0</v>
      </c>
      <c r="K2977" s="131">
        <f t="shared" si="191"/>
        <v>10184.4</v>
      </c>
      <c r="L2977" s="134">
        <v>0.1792</v>
      </c>
    </row>
    <row r="2978" spans="3:12">
      <c r="C2978" s="161">
        <f t="shared" si="189"/>
        <v>2020</v>
      </c>
      <c r="D2978" s="35" t="s">
        <v>304</v>
      </c>
      <c r="E2978" s="227">
        <v>43862</v>
      </c>
      <c r="F2978" s="156">
        <v>462746.07</v>
      </c>
      <c r="G2978" s="131">
        <f t="shared" si="190"/>
        <v>82924.095744000006</v>
      </c>
      <c r="H2978" s="156">
        <v>15781.16</v>
      </c>
      <c r="I2978" s="156">
        <v>0.01</v>
      </c>
      <c r="J2978" s="156">
        <v>0</v>
      </c>
      <c r="K2978" s="131">
        <f t="shared" si="191"/>
        <v>15781.17</v>
      </c>
      <c r="L2978" s="134">
        <v>0.1792</v>
      </c>
    </row>
    <row r="2979" spans="3:12">
      <c r="C2979" s="161">
        <f t="shared" si="189"/>
        <v>2020</v>
      </c>
      <c r="D2979" s="35" t="s">
        <v>304</v>
      </c>
      <c r="E2979" s="227">
        <v>43891</v>
      </c>
      <c r="F2979" s="156">
        <v>451467.02947499999</v>
      </c>
      <c r="G2979" s="131">
        <f t="shared" si="190"/>
        <v>80902.891681919995</v>
      </c>
      <c r="H2979" s="156">
        <v>15798.14</v>
      </c>
      <c r="I2979" s="156">
        <v>0</v>
      </c>
      <c r="J2979" s="156">
        <v>0</v>
      </c>
      <c r="K2979" s="131">
        <f t="shared" si="191"/>
        <v>15798.14</v>
      </c>
      <c r="L2979" s="134">
        <v>0.1792</v>
      </c>
    </row>
    <row r="2980" spans="3:12">
      <c r="C2980" s="161">
        <f t="shared" si="189"/>
        <v>2020</v>
      </c>
      <c r="D2980" s="35" t="s">
        <v>304</v>
      </c>
      <c r="E2980" s="227">
        <v>43922</v>
      </c>
      <c r="F2980" s="156">
        <v>450326.24752500001</v>
      </c>
      <c r="G2980" s="131">
        <f t="shared" si="190"/>
        <v>80698.463556479997</v>
      </c>
      <c r="H2980" s="156">
        <v>3928.62</v>
      </c>
      <c r="I2980" s="156">
        <v>0</v>
      </c>
      <c r="J2980" s="156">
        <v>0</v>
      </c>
      <c r="K2980" s="131">
        <f t="shared" si="191"/>
        <v>3928.62</v>
      </c>
      <c r="L2980" s="134">
        <v>0.1792</v>
      </c>
    </row>
    <row r="2981" spans="3:12">
      <c r="C2981" s="161">
        <f t="shared" si="189"/>
        <v>2020</v>
      </c>
      <c r="D2981" s="35" t="s">
        <v>304</v>
      </c>
      <c r="E2981" s="227">
        <v>43952</v>
      </c>
      <c r="F2981" s="156">
        <v>416305.03</v>
      </c>
      <c r="G2981" s="131">
        <f t="shared" si="190"/>
        <v>74601.861376000001</v>
      </c>
      <c r="H2981" s="156">
        <v>3484.71</v>
      </c>
      <c r="I2981" s="156">
        <v>0</v>
      </c>
      <c r="J2981" s="156">
        <v>0</v>
      </c>
      <c r="K2981" s="131">
        <f t="shared" si="191"/>
        <v>3484.71</v>
      </c>
      <c r="L2981" s="134">
        <v>0.1792</v>
      </c>
    </row>
    <row r="2982" spans="3:12">
      <c r="C2982" s="161">
        <f t="shared" si="189"/>
        <v>2020</v>
      </c>
      <c r="D2982" s="35" t="s">
        <v>304</v>
      </c>
      <c r="E2982" s="227">
        <v>43983</v>
      </c>
      <c r="F2982" s="156">
        <v>415701.23</v>
      </c>
      <c r="G2982" s="131">
        <f t="shared" si="190"/>
        <v>74493.660415999999</v>
      </c>
      <c r="H2982" s="156">
        <v>2824.44</v>
      </c>
      <c r="I2982" s="156">
        <v>0</v>
      </c>
      <c r="J2982" s="156">
        <v>0</v>
      </c>
      <c r="K2982" s="131">
        <f t="shared" si="191"/>
        <v>2824.44</v>
      </c>
      <c r="L2982" s="134">
        <v>0.1792</v>
      </c>
    </row>
    <row r="2983" spans="3:12">
      <c r="C2983" s="161">
        <f t="shared" si="189"/>
        <v>2020</v>
      </c>
      <c r="D2983" s="35" t="s">
        <v>304</v>
      </c>
      <c r="E2983" s="227">
        <v>44013</v>
      </c>
      <c r="F2983" s="156">
        <v>407639.98</v>
      </c>
      <c r="G2983" s="131">
        <f t="shared" si="190"/>
        <v>73049.084415999998</v>
      </c>
      <c r="H2983" s="156">
        <v>10124.969999999999</v>
      </c>
      <c r="I2983" s="156">
        <v>0</v>
      </c>
      <c r="J2983" s="156">
        <v>0</v>
      </c>
      <c r="K2983" s="131">
        <f t="shared" si="191"/>
        <v>10124.969999999999</v>
      </c>
      <c r="L2983" s="134">
        <v>0.1792</v>
      </c>
    </row>
    <row r="2984" spans="3:12">
      <c r="C2984" s="161">
        <f t="shared" si="189"/>
        <v>2020</v>
      </c>
      <c r="D2984" s="35" t="s">
        <v>304</v>
      </c>
      <c r="E2984" s="227">
        <v>44044</v>
      </c>
      <c r="F2984" s="156">
        <v>443982.73</v>
      </c>
      <c r="G2984" s="131">
        <f t="shared" si="190"/>
        <v>79561.705216000002</v>
      </c>
      <c r="H2984" s="156">
        <v>4411.4799999999996</v>
      </c>
      <c r="I2984" s="156">
        <v>0</v>
      </c>
      <c r="J2984" s="156">
        <v>0</v>
      </c>
      <c r="K2984" s="131">
        <f t="shared" si="191"/>
        <v>4411.4799999999996</v>
      </c>
      <c r="L2984" s="134">
        <v>0.1792</v>
      </c>
    </row>
    <row r="2985" spans="3:12">
      <c r="C2985" s="161">
        <f t="shared" si="189"/>
        <v>2020</v>
      </c>
      <c r="D2985" s="35" t="s">
        <v>304</v>
      </c>
      <c r="E2985" s="227">
        <v>44075</v>
      </c>
      <c r="F2985" s="156">
        <v>477657.75</v>
      </c>
      <c r="G2985" s="131">
        <f t="shared" si="190"/>
        <v>85596.268800000005</v>
      </c>
      <c r="H2985" s="156">
        <v>5508.22</v>
      </c>
      <c r="I2985" s="156">
        <v>0</v>
      </c>
      <c r="J2985" s="156">
        <v>0</v>
      </c>
      <c r="K2985" s="131">
        <f t="shared" si="191"/>
        <v>5508.22</v>
      </c>
      <c r="L2985" s="134">
        <v>0.1792</v>
      </c>
    </row>
    <row r="2986" spans="3:12">
      <c r="C2986" s="161">
        <f t="shared" si="189"/>
        <v>2020</v>
      </c>
      <c r="D2986" s="35" t="s">
        <v>304</v>
      </c>
      <c r="E2986" s="227">
        <v>44105</v>
      </c>
      <c r="F2986" s="156">
        <v>517198.6</v>
      </c>
      <c r="G2986" s="131">
        <f t="shared" si="190"/>
        <v>92681.989119999998</v>
      </c>
      <c r="H2986" s="156">
        <v>1136.28</v>
      </c>
      <c r="I2986" s="156">
        <v>0</v>
      </c>
      <c r="J2986" s="156">
        <v>0</v>
      </c>
      <c r="K2986" s="131">
        <f t="shared" si="191"/>
        <v>1136.28</v>
      </c>
      <c r="L2986" s="134">
        <v>0.1792</v>
      </c>
    </row>
    <row r="2987" spans="3:12">
      <c r="C2987" s="161">
        <f t="shared" si="189"/>
        <v>2020</v>
      </c>
      <c r="D2987" s="35" t="s">
        <v>304</v>
      </c>
      <c r="E2987" s="227">
        <v>44136</v>
      </c>
      <c r="F2987" s="156">
        <v>488206.29</v>
      </c>
      <c r="G2987" s="131">
        <f t="shared" si="190"/>
        <v>87486.567167999994</v>
      </c>
      <c r="H2987" s="156">
        <v>2211.81</v>
      </c>
      <c r="I2987" s="156">
        <v>4144</v>
      </c>
      <c r="J2987" s="156">
        <v>0</v>
      </c>
      <c r="K2987" s="131">
        <f t="shared" si="191"/>
        <v>6355.8099999999995</v>
      </c>
      <c r="L2987" s="134">
        <v>0.1792</v>
      </c>
    </row>
    <row r="2988" spans="3:12">
      <c r="C2988" s="161">
        <f t="shared" si="189"/>
        <v>2020</v>
      </c>
      <c r="D2988" s="35" t="s">
        <v>304</v>
      </c>
      <c r="E2988" s="227">
        <v>44166</v>
      </c>
      <c r="F2988" s="156">
        <v>472497.96</v>
      </c>
      <c r="G2988" s="131">
        <f t="shared" si="190"/>
        <v>84671.634432000006</v>
      </c>
      <c r="H2988" s="156">
        <v>1555.43</v>
      </c>
      <c r="I2988" s="156">
        <v>38020.120000000003</v>
      </c>
      <c r="J2988" s="156">
        <v>0</v>
      </c>
      <c r="K2988" s="131">
        <f t="shared" si="191"/>
        <v>39575.550000000003</v>
      </c>
      <c r="L2988" s="134">
        <v>0.1792</v>
      </c>
    </row>
    <row r="2989" spans="3:12">
      <c r="C2989" s="161">
        <f t="shared" si="189"/>
        <v>2021</v>
      </c>
      <c r="D2989" s="35" t="s">
        <v>304</v>
      </c>
      <c r="E2989" s="227">
        <v>44197</v>
      </c>
      <c r="F2989" s="156">
        <v>474559.95</v>
      </c>
      <c r="G2989" s="131">
        <f t="shared" si="190"/>
        <v>85041.143039999995</v>
      </c>
      <c r="H2989" s="156">
        <v>4072.29</v>
      </c>
      <c r="I2989" s="156">
        <v>0</v>
      </c>
      <c r="J2989" s="156">
        <v>0</v>
      </c>
      <c r="K2989" s="131">
        <f t="shared" si="191"/>
        <v>4072.29</v>
      </c>
      <c r="L2989" s="134">
        <v>0.1792</v>
      </c>
    </row>
    <row r="2990" spans="3:12">
      <c r="C2990" s="161">
        <f t="shared" si="189"/>
        <v>2021</v>
      </c>
      <c r="D2990" s="35" t="s">
        <v>304</v>
      </c>
      <c r="E2990" s="227">
        <v>44229</v>
      </c>
      <c r="F2990" s="156">
        <v>458186.69</v>
      </c>
      <c r="G2990" s="131">
        <f t="shared" si="190"/>
        <v>82107.054848</v>
      </c>
      <c r="H2990" s="156">
        <v>12690.12</v>
      </c>
      <c r="I2990" s="156">
        <v>5176.9799999999996</v>
      </c>
      <c r="J2990" s="156">
        <v>0</v>
      </c>
      <c r="K2990" s="131">
        <f t="shared" si="191"/>
        <v>17867.099999999999</v>
      </c>
      <c r="L2990" s="134">
        <v>0.1792</v>
      </c>
    </row>
    <row r="2991" spans="3:12">
      <c r="C2991" s="161">
        <f t="shared" si="189"/>
        <v>2021</v>
      </c>
      <c r="D2991" s="35" t="s">
        <v>304</v>
      </c>
      <c r="E2991" s="227">
        <v>44258</v>
      </c>
      <c r="F2991" s="156">
        <v>448601.04</v>
      </c>
      <c r="G2991" s="131">
        <f t="shared" si="190"/>
        <v>80389.30636799999</v>
      </c>
      <c r="H2991" s="156">
        <v>2469.15</v>
      </c>
      <c r="I2991" s="156">
        <v>0</v>
      </c>
      <c r="J2991" s="156">
        <v>0</v>
      </c>
      <c r="K2991" s="131">
        <f t="shared" si="191"/>
        <v>2469.15</v>
      </c>
      <c r="L2991" s="134">
        <v>0.1792</v>
      </c>
    </row>
    <row r="2992" spans="3:12">
      <c r="C2992" s="161">
        <f t="shared" si="189"/>
        <v>2021</v>
      </c>
      <c r="D2992" s="35" t="s">
        <v>304</v>
      </c>
      <c r="E2992" s="227">
        <v>44290</v>
      </c>
      <c r="F2992" s="156">
        <v>488368.27</v>
      </c>
      <c r="G2992" s="131">
        <f t="shared" si="190"/>
        <v>87515.593984000006</v>
      </c>
      <c r="H2992" s="156">
        <v>2372.71</v>
      </c>
      <c r="I2992" s="156">
        <v>11867.44</v>
      </c>
      <c r="J2992" s="156">
        <v>0</v>
      </c>
      <c r="K2992" s="131">
        <f t="shared" si="191"/>
        <v>14240.150000000001</v>
      </c>
      <c r="L2992" s="134">
        <v>0.1792</v>
      </c>
    </row>
    <row r="2993" spans="3:12">
      <c r="C2993" s="161">
        <f t="shared" si="189"/>
        <v>2021</v>
      </c>
      <c r="D2993" s="35" t="s">
        <v>304</v>
      </c>
      <c r="E2993" s="227">
        <v>44321</v>
      </c>
      <c r="F2993" s="156">
        <v>442060.08</v>
      </c>
      <c r="G2993" s="131">
        <f t="shared" si="190"/>
        <v>79217.166336000009</v>
      </c>
      <c r="H2993" s="156">
        <v>6448.81</v>
      </c>
      <c r="I2993" s="156">
        <v>34.770000000000003</v>
      </c>
      <c r="J2993" s="156">
        <v>0</v>
      </c>
      <c r="K2993" s="131">
        <f t="shared" si="191"/>
        <v>6483.5800000000008</v>
      </c>
      <c r="L2993" s="134">
        <v>0.1792</v>
      </c>
    </row>
    <row r="2994" spans="3:12">
      <c r="C2994" s="161">
        <f t="shared" si="189"/>
        <v>2021</v>
      </c>
      <c r="D2994" s="35" t="s">
        <v>304</v>
      </c>
      <c r="E2994" s="227">
        <v>44353</v>
      </c>
      <c r="F2994" s="156">
        <v>436192.94</v>
      </c>
      <c r="G2994" s="131">
        <f t="shared" si="190"/>
        <v>78165.774848000001</v>
      </c>
      <c r="H2994" s="156">
        <v>1920.93</v>
      </c>
      <c r="I2994" s="156">
        <v>79.86</v>
      </c>
      <c r="J2994" s="156">
        <v>0</v>
      </c>
      <c r="K2994" s="131">
        <f t="shared" si="191"/>
        <v>2000.79</v>
      </c>
      <c r="L2994" s="134">
        <v>0.1792</v>
      </c>
    </row>
    <row r="2995" spans="3:12">
      <c r="C2995" s="161">
        <f t="shared" si="189"/>
        <v>2015</v>
      </c>
      <c r="D2995" s="35" t="s">
        <v>305</v>
      </c>
      <c r="E2995" s="227">
        <v>42309</v>
      </c>
      <c r="F2995" s="156">
        <v>1198452.1000000001</v>
      </c>
      <c r="G2995" s="131">
        <f t="shared" si="190"/>
        <v>214762.61632</v>
      </c>
      <c r="H2995" s="156">
        <v>12038.48</v>
      </c>
      <c r="I2995" s="156">
        <v>56.78</v>
      </c>
      <c r="J2995" s="156">
        <v>4812</v>
      </c>
      <c r="K2995" s="131">
        <f t="shared" si="191"/>
        <v>16907.260000000002</v>
      </c>
      <c r="L2995" s="134">
        <v>0.1792</v>
      </c>
    </row>
    <row r="2996" spans="3:12">
      <c r="C2996" s="161">
        <f t="shared" si="189"/>
        <v>2015</v>
      </c>
      <c r="D2996" s="35" t="s">
        <v>305</v>
      </c>
      <c r="E2996" s="227">
        <v>42339</v>
      </c>
      <c r="F2996" s="156">
        <v>1122288.02</v>
      </c>
      <c r="G2996" s="131">
        <f t="shared" si="190"/>
        <v>201114.01318400001</v>
      </c>
      <c r="H2996" s="156">
        <v>116808.31</v>
      </c>
      <c r="I2996" s="156">
        <v>0</v>
      </c>
      <c r="J2996" s="156">
        <v>0</v>
      </c>
      <c r="K2996" s="131">
        <f t="shared" si="191"/>
        <v>116808.31</v>
      </c>
      <c r="L2996" s="134">
        <v>0.1792</v>
      </c>
    </row>
    <row r="2997" spans="3:12">
      <c r="C2997" s="161">
        <f t="shared" si="189"/>
        <v>2016</v>
      </c>
      <c r="D2997" s="35" t="s">
        <v>305</v>
      </c>
      <c r="E2997" s="227">
        <v>42370</v>
      </c>
      <c r="F2997" s="156">
        <v>1210178.45</v>
      </c>
      <c r="G2997" s="131">
        <f t="shared" si="190"/>
        <v>216863.97824</v>
      </c>
      <c r="H2997" s="156">
        <v>85206.74</v>
      </c>
      <c r="I2997" s="156">
        <v>416.83</v>
      </c>
      <c r="J2997" s="156">
        <v>0</v>
      </c>
      <c r="K2997" s="131">
        <f t="shared" si="191"/>
        <v>85623.57</v>
      </c>
      <c r="L2997" s="134">
        <v>0.1792</v>
      </c>
    </row>
    <row r="2998" spans="3:12">
      <c r="C2998" s="161">
        <f t="shared" si="189"/>
        <v>2016</v>
      </c>
      <c r="D2998" s="35" t="s">
        <v>305</v>
      </c>
      <c r="E2998" s="227">
        <v>42401</v>
      </c>
      <c r="F2998" s="156">
        <v>1236893.1599999999</v>
      </c>
      <c r="G2998" s="131">
        <f t="shared" si="190"/>
        <v>221651.25427199999</v>
      </c>
      <c r="H2998" s="156">
        <v>441907.32</v>
      </c>
      <c r="I2998" s="156">
        <v>0</v>
      </c>
      <c r="J2998" s="156">
        <v>0</v>
      </c>
      <c r="K2998" s="131">
        <f t="shared" si="191"/>
        <v>441907.32</v>
      </c>
      <c r="L2998" s="134">
        <v>0.1792</v>
      </c>
    </row>
    <row r="2999" spans="3:12">
      <c r="C2999" s="161">
        <f t="shared" si="189"/>
        <v>2016</v>
      </c>
      <c r="D2999" s="35" t="s">
        <v>305</v>
      </c>
      <c r="E2999" s="227">
        <v>42430</v>
      </c>
      <c r="F2999" s="156">
        <v>1094202.1299999999</v>
      </c>
      <c r="G2999" s="131">
        <f t="shared" si="190"/>
        <v>196081.02169599998</v>
      </c>
      <c r="H2999" s="156">
        <v>110102.33</v>
      </c>
      <c r="I2999" s="156">
        <v>124283.46</v>
      </c>
      <c r="J2999" s="156">
        <v>0</v>
      </c>
      <c r="K2999" s="131">
        <f t="shared" si="191"/>
        <v>234385.79</v>
      </c>
      <c r="L2999" s="134">
        <v>0.1792</v>
      </c>
    </row>
    <row r="3000" spans="3:12">
      <c r="C3000" s="161">
        <f t="shared" si="189"/>
        <v>2016</v>
      </c>
      <c r="D3000" s="35" t="s">
        <v>305</v>
      </c>
      <c r="E3000" s="227">
        <v>42461</v>
      </c>
      <c r="F3000" s="156">
        <v>1260899.74</v>
      </c>
      <c r="G3000" s="131">
        <f t="shared" si="190"/>
        <v>225953.233408</v>
      </c>
      <c r="H3000" s="156">
        <v>165517.99</v>
      </c>
      <c r="I3000" s="156">
        <v>65.510000000000005</v>
      </c>
      <c r="J3000" s="156">
        <v>0</v>
      </c>
      <c r="K3000" s="131">
        <f t="shared" si="191"/>
        <v>165583.5</v>
      </c>
      <c r="L3000" s="134">
        <v>0.1792</v>
      </c>
    </row>
    <row r="3001" spans="3:12">
      <c r="C3001" s="161">
        <f t="shared" si="189"/>
        <v>2016</v>
      </c>
      <c r="D3001" s="35" t="s">
        <v>305</v>
      </c>
      <c r="E3001" s="227">
        <v>42491</v>
      </c>
      <c r="F3001" s="156">
        <v>1117830.1499999999</v>
      </c>
      <c r="G3001" s="131">
        <f t="shared" si="190"/>
        <v>200315.16287999999</v>
      </c>
      <c r="H3001" s="156">
        <v>6812.49</v>
      </c>
      <c r="I3001" s="156">
        <v>333.45</v>
      </c>
      <c r="J3001" s="156">
        <v>0</v>
      </c>
      <c r="K3001" s="131">
        <f t="shared" si="191"/>
        <v>7145.94</v>
      </c>
      <c r="L3001" s="134">
        <v>0.1792</v>
      </c>
    </row>
    <row r="3002" spans="3:12">
      <c r="C3002" s="161">
        <f t="shared" si="189"/>
        <v>2016</v>
      </c>
      <c r="D3002" s="35" t="s">
        <v>305</v>
      </c>
      <c r="E3002" s="227">
        <v>42522</v>
      </c>
      <c r="F3002" s="156">
        <v>1068505.28</v>
      </c>
      <c r="G3002" s="131">
        <f t="shared" si="190"/>
        <v>191476.14617600001</v>
      </c>
      <c r="H3002" s="156">
        <v>108159.98</v>
      </c>
      <c r="I3002" s="156">
        <v>112333.09</v>
      </c>
      <c r="J3002" s="156">
        <v>52059.88</v>
      </c>
      <c r="K3002" s="131">
        <f t="shared" si="191"/>
        <v>272552.95</v>
      </c>
      <c r="L3002" s="134">
        <v>0.1792</v>
      </c>
    </row>
    <row r="3003" spans="3:12">
      <c r="C3003" s="161">
        <f t="shared" si="189"/>
        <v>2016</v>
      </c>
      <c r="D3003" s="35" t="s">
        <v>305</v>
      </c>
      <c r="E3003" s="227">
        <v>42552</v>
      </c>
      <c r="F3003" s="156">
        <v>1234998.6299999999</v>
      </c>
      <c r="G3003" s="131">
        <f t="shared" si="190"/>
        <v>221311.75449599998</v>
      </c>
      <c r="H3003" s="156">
        <v>47113.03</v>
      </c>
      <c r="I3003" s="156">
        <v>41830.910000000003</v>
      </c>
      <c r="J3003" s="156">
        <v>0</v>
      </c>
      <c r="K3003" s="131">
        <f t="shared" si="191"/>
        <v>88943.94</v>
      </c>
      <c r="L3003" s="134">
        <v>0.1792</v>
      </c>
    </row>
    <row r="3004" spans="3:12">
      <c r="C3004" s="161">
        <f t="shared" si="189"/>
        <v>2016</v>
      </c>
      <c r="D3004" s="35" t="s">
        <v>305</v>
      </c>
      <c r="E3004" s="227">
        <v>42583</v>
      </c>
      <c r="F3004" s="156">
        <v>1248507.3700000001</v>
      </c>
      <c r="G3004" s="131">
        <f t="shared" si="190"/>
        <v>223732.52070400002</v>
      </c>
      <c r="H3004" s="156">
        <v>285620.13</v>
      </c>
      <c r="I3004" s="156">
        <v>105283.75</v>
      </c>
      <c r="J3004" s="156">
        <v>0</v>
      </c>
      <c r="K3004" s="131">
        <f t="shared" si="191"/>
        <v>390903.88</v>
      </c>
      <c r="L3004" s="134">
        <v>0.1792</v>
      </c>
    </row>
    <row r="3005" spans="3:12">
      <c r="C3005" s="161">
        <f t="shared" si="189"/>
        <v>2016</v>
      </c>
      <c r="D3005" s="35" t="s">
        <v>305</v>
      </c>
      <c r="E3005" s="227">
        <v>42614</v>
      </c>
      <c r="F3005" s="156">
        <v>1234621.1200000001</v>
      </c>
      <c r="G3005" s="131">
        <f t="shared" si="190"/>
        <v>221244.10470400003</v>
      </c>
      <c r="H3005" s="156">
        <v>118885.37</v>
      </c>
      <c r="I3005" s="156">
        <v>180.45</v>
      </c>
      <c r="J3005" s="156">
        <v>0</v>
      </c>
      <c r="K3005" s="131">
        <f t="shared" si="191"/>
        <v>119065.81999999999</v>
      </c>
      <c r="L3005" s="134">
        <v>0.1792</v>
      </c>
    </row>
    <row r="3006" spans="3:12">
      <c r="C3006" s="161">
        <f t="shared" si="189"/>
        <v>2016</v>
      </c>
      <c r="D3006" s="35" t="s">
        <v>305</v>
      </c>
      <c r="E3006" s="227">
        <v>42644</v>
      </c>
      <c r="F3006" s="156">
        <v>1301267.44</v>
      </c>
      <c r="G3006" s="131">
        <f t="shared" si="190"/>
        <v>233187.125248</v>
      </c>
      <c r="H3006" s="156">
        <v>62098.51</v>
      </c>
      <c r="I3006" s="156">
        <v>30873.97</v>
      </c>
      <c r="J3006" s="156">
        <v>13453.33</v>
      </c>
      <c r="K3006" s="131">
        <f t="shared" si="191"/>
        <v>106425.81000000001</v>
      </c>
      <c r="L3006" s="134">
        <v>0.1792</v>
      </c>
    </row>
    <row r="3007" spans="3:12">
      <c r="C3007" s="161">
        <f t="shared" si="189"/>
        <v>2016</v>
      </c>
      <c r="D3007" s="35" t="s">
        <v>305</v>
      </c>
      <c r="E3007" s="227">
        <v>42675</v>
      </c>
      <c r="F3007" s="156">
        <v>1383230.8</v>
      </c>
      <c r="G3007" s="131">
        <f t="shared" si="190"/>
        <v>247874.95936000001</v>
      </c>
      <c r="H3007" s="156">
        <v>2858640.86</v>
      </c>
      <c r="I3007" s="156">
        <v>114.39</v>
      </c>
      <c r="J3007" s="156">
        <v>2787.9</v>
      </c>
      <c r="K3007" s="131">
        <f t="shared" si="191"/>
        <v>2861543.15</v>
      </c>
      <c r="L3007" s="134">
        <v>0.1792</v>
      </c>
    </row>
    <row r="3008" spans="3:12">
      <c r="C3008" s="161">
        <f t="shared" si="189"/>
        <v>2016</v>
      </c>
      <c r="D3008" s="35" t="s">
        <v>305</v>
      </c>
      <c r="E3008" s="227">
        <v>42705</v>
      </c>
      <c r="F3008" s="156">
        <v>1394487.7</v>
      </c>
      <c r="G3008" s="131">
        <f t="shared" si="190"/>
        <v>249892.19584</v>
      </c>
      <c r="H3008" s="156">
        <v>30716.880000000001</v>
      </c>
      <c r="I3008" s="156">
        <v>88.18</v>
      </c>
      <c r="J3008" s="156">
        <v>25458.86</v>
      </c>
      <c r="K3008" s="131">
        <f t="shared" si="191"/>
        <v>56263.92</v>
      </c>
      <c r="L3008" s="134">
        <v>0.1792</v>
      </c>
    </row>
    <row r="3009" spans="3:12">
      <c r="C3009" s="161">
        <f t="shared" si="189"/>
        <v>2017</v>
      </c>
      <c r="D3009" s="35" t="s">
        <v>305</v>
      </c>
      <c r="E3009" s="227">
        <v>42736</v>
      </c>
      <c r="F3009" s="156">
        <v>1419921.33</v>
      </c>
      <c r="G3009" s="131">
        <f t="shared" si="190"/>
        <v>254449.902336</v>
      </c>
      <c r="H3009" s="156">
        <v>11004.2</v>
      </c>
      <c r="I3009" s="156">
        <v>112.54</v>
      </c>
      <c r="J3009" s="156">
        <v>1418.53</v>
      </c>
      <c r="K3009" s="131">
        <f t="shared" si="191"/>
        <v>12535.270000000002</v>
      </c>
      <c r="L3009" s="134">
        <v>0.1792</v>
      </c>
    </row>
    <row r="3010" spans="3:12">
      <c r="C3010" s="161">
        <f t="shared" si="189"/>
        <v>2017</v>
      </c>
      <c r="D3010" s="35" t="s">
        <v>305</v>
      </c>
      <c r="E3010" s="227">
        <v>42767</v>
      </c>
      <c r="F3010" s="156">
        <v>1373446.91</v>
      </c>
      <c r="G3010" s="131">
        <f t="shared" si="190"/>
        <v>246121.68627199999</v>
      </c>
      <c r="H3010" s="156">
        <v>7545.87</v>
      </c>
      <c r="I3010" s="156">
        <v>99.34</v>
      </c>
      <c r="J3010" s="156">
        <v>0</v>
      </c>
      <c r="K3010" s="131">
        <f t="shared" si="191"/>
        <v>7645.21</v>
      </c>
      <c r="L3010" s="134">
        <v>0.1792</v>
      </c>
    </row>
    <row r="3011" spans="3:12">
      <c r="C3011" s="161">
        <f t="shared" si="189"/>
        <v>2017</v>
      </c>
      <c r="D3011" s="35" t="s">
        <v>305</v>
      </c>
      <c r="E3011" s="227">
        <v>42795</v>
      </c>
      <c r="F3011" s="156">
        <v>1296103.8899999999</v>
      </c>
      <c r="G3011" s="131">
        <f t="shared" si="190"/>
        <v>232261.81708799998</v>
      </c>
      <c r="H3011" s="156">
        <v>10342.81</v>
      </c>
      <c r="I3011" s="156">
        <v>23.5</v>
      </c>
      <c r="J3011" s="156">
        <v>2145.16</v>
      </c>
      <c r="K3011" s="131">
        <f t="shared" si="191"/>
        <v>12511.47</v>
      </c>
      <c r="L3011" s="134">
        <v>0.1792</v>
      </c>
    </row>
    <row r="3012" spans="3:12">
      <c r="C3012" s="161">
        <f t="shared" ref="C3012:C3075" si="192">YEAR(E3012)</f>
        <v>2017</v>
      </c>
      <c r="D3012" s="35" t="s">
        <v>305</v>
      </c>
      <c r="E3012" s="227">
        <v>42826</v>
      </c>
      <c r="F3012" s="156">
        <v>1283628.8999999999</v>
      </c>
      <c r="G3012" s="131">
        <f t="shared" ref="G3012:G3075" si="193">F3012*L3012</f>
        <v>230026.29887999999</v>
      </c>
      <c r="H3012" s="156">
        <v>4416.8</v>
      </c>
      <c r="I3012" s="156">
        <v>113.84</v>
      </c>
      <c r="J3012" s="156">
        <v>0</v>
      </c>
      <c r="K3012" s="131">
        <f t="shared" ref="K3012:K3075" si="194">SUM(H3012:J3012)</f>
        <v>4530.6400000000003</v>
      </c>
      <c r="L3012" s="134">
        <v>0.1792</v>
      </c>
    </row>
    <row r="3013" spans="3:12">
      <c r="C3013" s="161">
        <f t="shared" si="192"/>
        <v>2017</v>
      </c>
      <c r="D3013" s="35" t="s">
        <v>305</v>
      </c>
      <c r="E3013" s="227">
        <v>42856</v>
      </c>
      <c r="F3013" s="156">
        <v>1202202.8400000001</v>
      </c>
      <c r="G3013" s="131">
        <f t="shared" si="193"/>
        <v>215434.74892800002</v>
      </c>
      <c r="H3013" s="156">
        <v>6211.87</v>
      </c>
      <c r="I3013" s="156">
        <v>46.37</v>
      </c>
      <c r="J3013" s="156">
        <v>943.74</v>
      </c>
      <c r="K3013" s="131">
        <f t="shared" si="194"/>
        <v>7201.98</v>
      </c>
      <c r="L3013" s="134">
        <v>0.1792</v>
      </c>
    </row>
    <row r="3014" spans="3:12">
      <c r="C3014" s="161">
        <f t="shared" si="192"/>
        <v>2017</v>
      </c>
      <c r="D3014" s="35" t="s">
        <v>305</v>
      </c>
      <c r="E3014" s="227">
        <v>42887</v>
      </c>
      <c r="F3014" s="156">
        <v>1237305.42</v>
      </c>
      <c r="G3014" s="131">
        <f t="shared" si="193"/>
        <v>221725.131264</v>
      </c>
      <c r="H3014" s="156">
        <v>13063.18</v>
      </c>
      <c r="I3014" s="156">
        <v>926.14</v>
      </c>
      <c r="J3014" s="156">
        <v>0</v>
      </c>
      <c r="K3014" s="131">
        <f t="shared" si="194"/>
        <v>13989.32</v>
      </c>
      <c r="L3014" s="134">
        <v>0.1792</v>
      </c>
    </row>
    <row r="3015" spans="3:12">
      <c r="C3015" s="161">
        <f t="shared" si="192"/>
        <v>2017</v>
      </c>
      <c r="D3015" s="35" t="s">
        <v>305</v>
      </c>
      <c r="E3015" s="227">
        <v>42917</v>
      </c>
      <c r="F3015" s="156">
        <v>1260091.27</v>
      </c>
      <c r="G3015" s="131">
        <f t="shared" si="193"/>
        <v>225808.355584</v>
      </c>
      <c r="H3015" s="156">
        <v>11537.61</v>
      </c>
      <c r="I3015" s="156">
        <v>75158.3</v>
      </c>
      <c r="J3015" s="156">
        <v>26724.240000000002</v>
      </c>
      <c r="K3015" s="131">
        <f t="shared" si="194"/>
        <v>113420.15000000001</v>
      </c>
      <c r="L3015" s="134">
        <v>0.1792</v>
      </c>
    </row>
    <row r="3016" spans="3:12">
      <c r="C3016" s="161">
        <f t="shared" si="192"/>
        <v>2017</v>
      </c>
      <c r="D3016" s="35" t="s">
        <v>305</v>
      </c>
      <c r="E3016" s="227">
        <v>42948</v>
      </c>
      <c r="F3016" s="156">
        <v>1356573.23</v>
      </c>
      <c r="G3016" s="131">
        <f t="shared" si="193"/>
        <v>243097.92281600001</v>
      </c>
      <c r="H3016" s="156">
        <v>5602.27</v>
      </c>
      <c r="I3016" s="156">
        <v>35126.01</v>
      </c>
      <c r="J3016" s="156">
        <v>0</v>
      </c>
      <c r="K3016" s="131">
        <f t="shared" si="194"/>
        <v>40728.28</v>
      </c>
      <c r="L3016" s="134">
        <v>0.1792</v>
      </c>
    </row>
    <row r="3017" spans="3:12">
      <c r="C3017" s="161">
        <f t="shared" si="192"/>
        <v>2017</v>
      </c>
      <c r="D3017" s="35" t="s">
        <v>305</v>
      </c>
      <c r="E3017" s="227">
        <v>42979</v>
      </c>
      <c r="F3017" s="156">
        <v>1460937.59</v>
      </c>
      <c r="G3017" s="131">
        <f t="shared" si="193"/>
        <v>261800.01612800002</v>
      </c>
      <c r="H3017" s="156">
        <v>10934.36</v>
      </c>
      <c r="I3017" s="156">
        <v>106.36</v>
      </c>
      <c r="J3017" s="156">
        <v>0</v>
      </c>
      <c r="K3017" s="131">
        <f t="shared" si="194"/>
        <v>11040.720000000001</v>
      </c>
      <c r="L3017" s="134">
        <v>0.1792</v>
      </c>
    </row>
    <row r="3018" spans="3:12">
      <c r="C3018" s="161">
        <f t="shared" si="192"/>
        <v>2017</v>
      </c>
      <c r="D3018" s="35" t="s">
        <v>305</v>
      </c>
      <c r="E3018" s="227">
        <v>43009</v>
      </c>
      <c r="F3018" s="156">
        <v>1414832.91</v>
      </c>
      <c r="G3018" s="131">
        <f t="shared" si="193"/>
        <v>253538.05747199999</v>
      </c>
      <c r="H3018" s="156">
        <v>28912.3</v>
      </c>
      <c r="I3018" s="156">
        <v>238.33</v>
      </c>
      <c r="J3018" s="156">
        <v>0</v>
      </c>
      <c r="K3018" s="131">
        <f t="shared" si="194"/>
        <v>29150.63</v>
      </c>
      <c r="L3018" s="134">
        <v>0.1792</v>
      </c>
    </row>
    <row r="3019" spans="3:12">
      <c r="C3019" s="161">
        <f t="shared" si="192"/>
        <v>2017</v>
      </c>
      <c r="D3019" s="35" t="s">
        <v>305</v>
      </c>
      <c r="E3019" s="227">
        <v>43040</v>
      </c>
      <c r="F3019" s="156">
        <v>1387036.68</v>
      </c>
      <c r="G3019" s="131">
        <f t="shared" si="193"/>
        <v>248556.97305599999</v>
      </c>
      <c r="H3019" s="156">
        <v>133036.79999999999</v>
      </c>
      <c r="I3019" s="156">
        <v>87612.12</v>
      </c>
      <c r="J3019" s="156">
        <v>0</v>
      </c>
      <c r="K3019" s="131">
        <f t="shared" si="194"/>
        <v>220648.91999999998</v>
      </c>
      <c r="L3019" s="134">
        <v>0.1792</v>
      </c>
    </row>
    <row r="3020" spans="3:12">
      <c r="C3020" s="161">
        <f t="shared" si="192"/>
        <v>2017</v>
      </c>
      <c r="D3020" s="35" t="s">
        <v>305</v>
      </c>
      <c r="E3020" s="227">
        <v>43070</v>
      </c>
      <c r="F3020" s="156">
        <v>1403567.63</v>
      </c>
      <c r="G3020" s="131">
        <f t="shared" si="193"/>
        <v>251519.31929599997</v>
      </c>
      <c r="H3020" s="156">
        <v>7033.14</v>
      </c>
      <c r="I3020" s="156">
        <v>45177.18</v>
      </c>
      <c r="J3020" s="156">
        <v>0</v>
      </c>
      <c r="K3020" s="131">
        <f t="shared" si="194"/>
        <v>52210.32</v>
      </c>
      <c r="L3020" s="134">
        <v>0.1792</v>
      </c>
    </row>
    <row r="3021" spans="3:12">
      <c r="C3021" s="161">
        <f t="shared" si="192"/>
        <v>2018</v>
      </c>
      <c r="D3021" s="35" t="s">
        <v>305</v>
      </c>
      <c r="E3021" s="227">
        <v>43101</v>
      </c>
      <c r="F3021" s="156">
        <v>1336358.8400000001</v>
      </c>
      <c r="G3021" s="131">
        <f t="shared" si="193"/>
        <v>239475.504128</v>
      </c>
      <c r="H3021" s="156">
        <v>6397.12</v>
      </c>
      <c r="I3021" s="156">
        <v>405.13</v>
      </c>
      <c r="J3021" s="156">
        <v>0</v>
      </c>
      <c r="K3021" s="131">
        <f t="shared" si="194"/>
        <v>6802.25</v>
      </c>
      <c r="L3021" s="134">
        <v>0.1792</v>
      </c>
    </row>
    <row r="3022" spans="3:12">
      <c r="C3022" s="161">
        <f t="shared" si="192"/>
        <v>2018</v>
      </c>
      <c r="D3022" s="35" t="s">
        <v>305</v>
      </c>
      <c r="E3022" s="227">
        <v>43132</v>
      </c>
      <c r="F3022" s="156">
        <v>1407300.69</v>
      </c>
      <c r="G3022" s="131">
        <f t="shared" si="193"/>
        <v>252188.28364799998</v>
      </c>
      <c r="H3022" s="156">
        <v>3168.96</v>
      </c>
      <c r="I3022" s="156">
        <v>7430.88</v>
      </c>
      <c r="J3022" s="156">
        <v>0</v>
      </c>
      <c r="K3022" s="131">
        <f t="shared" si="194"/>
        <v>10599.84</v>
      </c>
      <c r="L3022" s="134">
        <v>0.1792</v>
      </c>
    </row>
    <row r="3023" spans="3:12">
      <c r="C3023" s="161">
        <f t="shared" si="192"/>
        <v>2018</v>
      </c>
      <c r="D3023" s="35" t="s">
        <v>305</v>
      </c>
      <c r="E3023" s="227">
        <v>43160</v>
      </c>
      <c r="F3023" s="156">
        <v>1279578.29</v>
      </c>
      <c r="G3023" s="131">
        <f t="shared" si="193"/>
        <v>229300.42956799999</v>
      </c>
      <c r="H3023" s="156">
        <v>4376.3500000000004</v>
      </c>
      <c r="I3023" s="156">
        <v>1856.42</v>
      </c>
      <c r="J3023" s="156">
        <v>0</v>
      </c>
      <c r="K3023" s="131">
        <f t="shared" si="194"/>
        <v>6232.77</v>
      </c>
      <c r="L3023" s="134">
        <v>0.1792</v>
      </c>
    </row>
    <row r="3024" spans="3:12">
      <c r="C3024" s="161">
        <f t="shared" si="192"/>
        <v>2018</v>
      </c>
      <c r="D3024" s="35" t="s">
        <v>305</v>
      </c>
      <c r="E3024" s="227">
        <v>43191</v>
      </c>
      <c r="F3024" s="156">
        <v>1388073.44</v>
      </c>
      <c r="G3024" s="131">
        <f t="shared" si="193"/>
        <v>248742.76044799999</v>
      </c>
      <c r="H3024" s="156">
        <v>5665.29</v>
      </c>
      <c r="I3024" s="156">
        <v>-35720.51</v>
      </c>
      <c r="J3024" s="156">
        <v>2847.3</v>
      </c>
      <c r="K3024" s="131">
        <f t="shared" si="194"/>
        <v>-27207.920000000002</v>
      </c>
      <c r="L3024" s="134">
        <v>0.1792</v>
      </c>
    </row>
    <row r="3025" spans="3:12">
      <c r="C3025" s="161">
        <f t="shared" si="192"/>
        <v>2018</v>
      </c>
      <c r="D3025" s="35" t="s">
        <v>305</v>
      </c>
      <c r="E3025" s="227">
        <v>43221</v>
      </c>
      <c r="F3025" s="156">
        <v>1434605.97</v>
      </c>
      <c r="G3025" s="131">
        <f t="shared" si="193"/>
        <v>257081.38982399998</v>
      </c>
      <c r="H3025" s="156">
        <v>4157.8900000000003</v>
      </c>
      <c r="I3025" s="156">
        <v>27.55</v>
      </c>
      <c r="J3025" s="156">
        <v>0</v>
      </c>
      <c r="K3025" s="131">
        <f t="shared" si="194"/>
        <v>4185.4400000000005</v>
      </c>
      <c r="L3025" s="134">
        <v>0.1792</v>
      </c>
    </row>
    <row r="3026" spans="3:12">
      <c r="C3026" s="161">
        <f t="shared" si="192"/>
        <v>2018</v>
      </c>
      <c r="D3026" s="35" t="s">
        <v>305</v>
      </c>
      <c r="E3026" s="227">
        <v>43252</v>
      </c>
      <c r="F3026" s="156">
        <v>1263770.05</v>
      </c>
      <c r="G3026" s="131">
        <f t="shared" si="193"/>
        <v>226467.59296000001</v>
      </c>
      <c r="H3026" s="156">
        <v>10864.37</v>
      </c>
      <c r="I3026" s="156">
        <v>38.090000000000003</v>
      </c>
      <c r="J3026" s="156">
        <v>0</v>
      </c>
      <c r="K3026" s="131">
        <f t="shared" si="194"/>
        <v>10902.460000000001</v>
      </c>
      <c r="L3026" s="134">
        <v>0.1792</v>
      </c>
    </row>
    <row r="3027" spans="3:12">
      <c r="C3027" s="161">
        <f t="shared" si="192"/>
        <v>2018</v>
      </c>
      <c r="D3027" s="35" t="s">
        <v>305</v>
      </c>
      <c r="E3027" s="227">
        <v>43282</v>
      </c>
      <c r="F3027" s="156">
        <v>1385139.18</v>
      </c>
      <c r="G3027" s="131">
        <f t="shared" si="193"/>
        <v>248216.94105599998</v>
      </c>
      <c r="H3027" s="156">
        <v>40792.67</v>
      </c>
      <c r="I3027" s="156">
        <v>159.80000000000001</v>
      </c>
      <c r="J3027" s="156">
        <v>0</v>
      </c>
      <c r="K3027" s="131">
        <f t="shared" si="194"/>
        <v>40952.47</v>
      </c>
      <c r="L3027" s="134">
        <v>0.1792</v>
      </c>
    </row>
    <row r="3028" spans="3:12">
      <c r="C3028" s="161">
        <f t="shared" si="192"/>
        <v>2018</v>
      </c>
      <c r="D3028" s="35" t="s">
        <v>305</v>
      </c>
      <c r="E3028" s="227">
        <v>43313</v>
      </c>
      <c r="F3028" s="156">
        <v>1383068.7</v>
      </c>
      <c r="G3028" s="131">
        <f t="shared" si="193"/>
        <v>247845.91103999998</v>
      </c>
      <c r="H3028" s="156">
        <v>11954.72</v>
      </c>
      <c r="I3028" s="156">
        <v>0</v>
      </c>
      <c r="J3028" s="156">
        <v>0</v>
      </c>
      <c r="K3028" s="131">
        <f t="shared" si="194"/>
        <v>11954.72</v>
      </c>
      <c r="L3028" s="134">
        <v>0.1792</v>
      </c>
    </row>
    <row r="3029" spans="3:12">
      <c r="C3029" s="161">
        <f t="shared" si="192"/>
        <v>2018</v>
      </c>
      <c r="D3029" s="35" t="s">
        <v>305</v>
      </c>
      <c r="E3029" s="227">
        <v>43344</v>
      </c>
      <c r="F3029" s="156">
        <v>1401224.88</v>
      </c>
      <c r="G3029" s="131">
        <f t="shared" si="193"/>
        <v>251099.49849599999</v>
      </c>
      <c r="H3029" s="156">
        <v>5241.7700000000004</v>
      </c>
      <c r="I3029" s="156">
        <v>78.2</v>
      </c>
      <c r="J3029" s="156">
        <v>666.66</v>
      </c>
      <c r="K3029" s="131">
        <f t="shared" si="194"/>
        <v>5986.63</v>
      </c>
      <c r="L3029" s="134">
        <v>0.1792</v>
      </c>
    </row>
    <row r="3030" spans="3:12">
      <c r="C3030" s="161">
        <f t="shared" si="192"/>
        <v>2018</v>
      </c>
      <c r="D3030" s="35" t="s">
        <v>305</v>
      </c>
      <c r="E3030" s="227">
        <v>43374</v>
      </c>
      <c r="F3030" s="156">
        <v>1378225.76</v>
      </c>
      <c r="G3030" s="131">
        <f t="shared" si="193"/>
        <v>246978.05619199999</v>
      </c>
      <c r="H3030" s="156">
        <v>4195.58</v>
      </c>
      <c r="I3030" s="156">
        <v>24275.05</v>
      </c>
      <c r="J3030" s="156">
        <v>0</v>
      </c>
      <c r="K3030" s="131">
        <f t="shared" si="194"/>
        <v>28470.629999999997</v>
      </c>
      <c r="L3030" s="134">
        <v>0.1792</v>
      </c>
    </row>
    <row r="3031" spans="3:12">
      <c r="C3031" s="161">
        <f t="shared" si="192"/>
        <v>2018</v>
      </c>
      <c r="D3031" s="35" t="s">
        <v>305</v>
      </c>
      <c r="E3031" s="227">
        <v>43405</v>
      </c>
      <c r="F3031" s="156">
        <v>1498034.7161999999</v>
      </c>
      <c r="G3031" s="131">
        <f t="shared" si="193"/>
        <v>268447.82114303997</v>
      </c>
      <c r="H3031" s="156">
        <v>27530.92</v>
      </c>
      <c r="I3031" s="156">
        <v>877.85</v>
      </c>
      <c r="J3031" s="156">
        <v>129667.5</v>
      </c>
      <c r="K3031" s="131">
        <f t="shared" si="194"/>
        <v>158076.26999999999</v>
      </c>
      <c r="L3031" s="134">
        <v>0.1792</v>
      </c>
    </row>
    <row r="3032" spans="3:12">
      <c r="C3032" s="161">
        <f t="shared" si="192"/>
        <v>2018</v>
      </c>
      <c r="D3032" s="35" t="s">
        <v>305</v>
      </c>
      <c r="E3032" s="227">
        <v>43435</v>
      </c>
      <c r="F3032" s="156">
        <v>1560968.86</v>
      </c>
      <c r="G3032" s="131">
        <f t="shared" si="193"/>
        <v>279725.61971200001</v>
      </c>
      <c r="H3032" s="156">
        <v>5919.22</v>
      </c>
      <c r="I3032" s="156">
        <v>1337.64</v>
      </c>
      <c r="J3032" s="156">
        <v>2316</v>
      </c>
      <c r="K3032" s="131">
        <f t="shared" si="194"/>
        <v>9572.86</v>
      </c>
      <c r="L3032" s="134">
        <v>0.1792</v>
      </c>
    </row>
    <row r="3033" spans="3:12">
      <c r="C3033" s="161">
        <f t="shared" si="192"/>
        <v>2019</v>
      </c>
      <c r="D3033" s="35" t="s">
        <v>305</v>
      </c>
      <c r="E3033" s="227">
        <v>43466</v>
      </c>
      <c r="F3033" s="156">
        <v>1584631.47</v>
      </c>
      <c r="G3033" s="131">
        <f t="shared" si="193"/>
        <v>283965.959424</v>
      </c>
      <c r="H3033" s="156">
        <v>3224.22</v>
      </c>
      <c r="I3033" s="156">
        <v>250312.65</v>
      </c>
      <c r="J3033" s="156">
        <v>1138.75</v>
      </c>
      <c r="K3033" s="131">
        <f t="shared" si="194"/>
        <v>254675.62</v>
      </c>
      <c r="L3033" s="134">
        <v>0.1792</v>
      </c>
    </row>
    <row r="3034" spans="3:12">
      <c r="C3034" s="161">
        <f t="shared" si="192"/>
        <v>2019</v>
      </c>
      <c r="D3034" s="35" t="s">
        <v>305</v>
      </c>
      <c r="E3034" s="227">
        <v>43497</v>
      </c>
      <c r="F3034" s="156">
        <v>1573089.91</v>
      </c>
      <c r="G3034" s="131">
        <f t="shared" si="193"/>
        <v>281897.71187199996</v>
      </c>
      <c r="H3034" s="156">
        <v>1052341.06</v>
      </c>
      <c r="I3034" s="156">
        <v>1386908.45</v>
      </c>
      <c r="J3034" s="156">
        <v>0</v>
      </c>
      <c r="K3034" s="131">
        <f t="shared" si="194"/>
        <v>2439249.5099999998</v>
      </c>
      <c r="L3034" s="134">
        <v>0.1792</v>
      </c>
    </row>
    <row r="3035" spans="3:12">
      <c r="C3035" s="161">
        <f t="shared" si="192"/>
        <v>2019</v>
      </c>
      <c r="D3035" s="35" t="s">
        <v>305</v>
      </c>
      <c r="E3035" s="227">
        <v>43525</v>
      </c>
      <c r="F3035" s="156">
        <v>1396441.63</v>
      </c>
      <c r="G3035" s="131">
        <f t="shared" si="193"/>
        <v>250242.34009599997</v>
      </c>
      <c r="H3035" s="156">
        <v>6147.86</v>
      </c>
      <c r="I3035" s="156">
        <v>344333.3</v>
      </c>
      <c r="J3035" s="156">
        <v>0</v>
      </c>
      <c r="K3035" s="131">
        <f t="shared" si="194"/>
        <v>350481.16</v>
      </c>
      <c r="L3035" s="134">
        <v>0.1792</v>
      </c>
    </row>
    <row r="3036" spans="3:12">
      <c r="C3036" s="161">
        <f t="shared" si="192"/>
        <v>2019</v>
      </c>
      <c r="D3036" s="35" t="s">
        <v>305</v>
      </c>
      <c r="E3036" s="227">
        <v>43556</v>
      </c>
      <c r="F3036" s="156">
        <v>1483775.71</v>
      </c>
      <c r="G3036" s="131">
        <f t="shared" si="193"/>
        <v>265892.60723199998</v>
      </c>
      <c r="H3036" s="156">
        <v>11647.05</v>
      </c>
      <c r="I3036" s="156">
        <v>269194.57</v>
      </c>
      <c r="J3036" s="156">
        <v>1958</v>
      </c>
      <c r="K3036" s="131">
        <f t="shared" si="194"/>
        <v>282799.62</v>
      </c>
      <c r="L3036" s="134">
        <v>0.1792</v>
      </c>
    </row>
    <row r="3037" spans="3:12">
      <c r="C3037" s="161">
        <f t="shared" si="192"/>
        <v>2019</v>
      </c>
      <c r="D3037" s="35" t="s">
        <v>305</v>
      </c>
      <c r="E3037" s="227">
        <v>43586</v>
      </c>
      <c r="F3037" s="156">
        <v>1400746.44</v>
      </c>
      <c r="G3037" s="131">
        <f t="shared" si="193"/>
        <v>251013.76204799998</v>
      </c>
      <c r="H3037" s="156">
        <v>5848.57</v>
      </c>
      <c r="I3037" s="156">
        <v>315426.96999999997</v>
      </c>
      <c r="J3037" s="156">
        <v>0</v>
      </c>
      <c r="K3037" s="131">
        <f t="shared" si="194"/>
        <v>321275.53999999998</v>
      </c>
      <c r="L3037" s="134">
        <v>0.1792</v>
      </c>
    </row>
    <row r="3038" spans="3:12">
      <c r="C3038" s="161">
        <f t="shared" si="192"/>
        <v>2019</v>
      </c>
      <c r="D3038" s="35" t="s">
        <v>305</v>
      </c>
      <c r="E3038" s="227">
        <v>43617</v>
      </c>
      <c r="F3038" s="156">
        <v>1431637.76</v>
      </c>
      <c r="G3038" s="131">
        <f t="shared" si="193"/>
        <v>256549.486592</v>
      </c>
      <c r="H3038" s="156">
        <v>16493.34</v>
      </c>
      <c r="I3038" s="156">
        <v>389256.07</v>
      </c>
      <c r="J3038" s="156">
        <v>0</v>
      </c>
      <c r="K3038" s="131">
        <f t="shared" si="194"/>
        <v>405749.41000000003</v>
      </c>
      <c r="L3038" s="134">
        <v>0.1792</v>
      </c>
    </row>
    <row r="3039" spans="3:12">
      <c r="C3039" s="161">
        <f t="shared" si="192"/>
        <v>2019</v>
      </c>
      <c r="D3039" s="35" t="s">
        <v>305</v>
      </c>
      <c r="E3039" s="227">
        <v>43647</v>
      </c>
      <c r="F3039" s="156">
        <v>1446906.74</v>
      </c>
      <c r="G3039" s="131">
        <f t="shared" si="193"/>
        <v>259285.68780799999</v>
      </c>
      <c r="H3039" s="156">
        <v>11842.87</v>
      </c>
      <c r="I3039" s="156">
        <v>59546.27</v>
      </c>
      <c r="J3039" s="156">
        <v>3632.6</v>
      </c>
      <c r="K3039" s="131">
        <f t="shared" si="194"/>
        <v>75021.740000000005</v>
      </c>
      <c r="L3039" s="134">
        <v>0.1792</v>
      </c>
    </row>
    <row r="3040" spans="3:12">
      <c r="C3040" s="161">
        <f t="shared" si="192"/>
        <v>2019</v>
      </c>
      <c r="D3040" s="35" t="s">
        <v>305</v>
      </c>
      <c r="E3040" s="227">
        <v>43678</v>
      </c>
      <c r="F3040" s="156">
        <v>1513559.39</v>
      </c>
      <c r="G3040" s="131">
        <f t="shared" si="193"/>
        <v>271229.842688</v>
      </c>
      <c r="H3040" s="156">
        <v>170489.47</v>
      </c>
      <c r="I3040" s="156">
        <v>14353.06</v>
      </c>
      <c r="J3040" s="156">
        <v>870</v>
      </c>
      <c r="K3040" s="131">
        <f t="shared" si="194"/>
        <v>185712.53</v>
      </c>
      <c r="L3040" s="134">
        <v>0.1792</v>
      </c>
    </row>
    <row r="3041" spans="3:12">
      <c r="C3041" s="161">
        <f t="shared" si="192"/>
        <v>2019</v>
      </c>
      <c r="D3041" s="35" t="s">
        <v>305</v>
      </c>
      <c r="E3041" s="227">
        <v>43709</v>
      </c>
      <c r="F3041" s="156">
        <v>1671941.49</v>
      </c>
      <c r="G3041" s="131">
        <f t="shared" si="193"/>
        <v>299611.91500799998</v>
      </c>
      <c r="H3041" s="156">
        <v>184779.23</v>
      </c>
      <c r="I3041" s="156">
        <v>21799.41</v>
      </c>
      <c r="J3041" s="156">
        <v>160800</v>
      </c>
      <c r="K3041" s="131">
        <f t="shared" si="194"/>
        <v>367378.64</v>
      </c>
      <c r="L3041" s="134">
        <v>0.1792</v>
      </c>
    </row>
    <row r="3042" spans="3:12">
      <c r="C3042" s="161">
        <f t="shared" si="192"/>
        <v>2019</v>
      </c>
      <c r="D3042" s="35" t="s">
        <v>305</v>
      </c>
      <c r="E3042" s="227">
        <v>43739</v>
      </c>
      <c r="F3042" s="156">
        <v>1649947.34</v>
      </c>
      <c r="G3042" s="131">
        <f t="shared" si="193"/>
        <v>295670.56332800002</v>
      </c>
      <c r="H3042" s="156">
        <v>73610.490000000005</v>
      </c>
      <c r="I3042" s="156">
        <v>20199.2</v>
      </c>
      <c r="J3042" s="156">
        <v>326133.40999999997</v>
      </c>
      <c r="K3042" s="131">
        <f t="shared" si="194"/>
        <v>419943.1</v>
      </c>
      <c r="L3042" s="134">
        <v>0.1792</v>
      </c>
    </row>
    <row r="3043" spans="3:12">
      <c r="C3043" s="161">
        <f t="shared" si="192"/>
        <v>2019</v>
      </c>
      <c r="D3043" s="35" t="s">
        <v>305</v>
      </c>
      <c r="E3043" s="227">
        <v>43770</v>
      </c>
      <c r="F3043" s="156">
        <v>1752111.03</v>
      </c>
      <c r="G3043" s="131">
        <f t="shared" si="193"/>
        <v>313978.29657599999</v>
      </c>
      <c r="H3043" s="156">
        <v>4879.9399999999996</v>
      </c>
      <c r="I3043" s="156">
        <v>26081.8</v>
      </c>
      <c r="J3043" s="156">
        <v>1100</v>
      </c>
      <c r="K3043" s="131">
        <f t="shared" si="194"/>
        <v>32061.739999999998</v>
      </c>
      <c r="L3043" s="134">
        <v>0.1792</v>
      </c>
    </row>
    <row r="3044" spans="3:12">
      <c r="C3044" s="161">
        <f t="shared" si="192"/>
        <v>2019</v>
      </c>
      <c r="D3044" s="35" t="s">
        <v>305</v>
      </c>
      <c r="E3044" s="227">
        <v>43800</v>
      </c>
      <c r="F3044" s="156">
        <v>1589159.43</v>
      </c>
      <c r="G3044" s="131">
        <f t="shared" si="193"/>
        <v>284777.369856</v>
      </c>
      <c r="H3044" s="156">
        <v>4486.99</v>
      </c>
      <c r="I3044" s="156">
        <v>23938.560000000001</v>
      </c>
      <c r="J3044" s="156">
        <v>1271.28</v>
      </c>
      <c r="K3044" s="131">
        <f t="shared" si="194"/>
        <v>29696.83</v>
      </c>
      <c r="L3044" s="134">
        <v>0.1792</v>
      </c>
    </row>
    <row r="3045" spans="3:12">
      <c r="C3045" s="161">
        <f t="shared" si="192"/>
        <v>2020</v>
      </c>
      <c r="D3045" s="35" t="s">
        <v>305</v>
      </c>
      <c r="E3045" s="227">
        <v>43831</v>
      </c>
      <c r="F3045" s="156">
        <v>1601685.44</v>
      </c>
      <c r="G3045" s="131">
        <f t="shared" si="193"/>
        <v>287022.03084799997</v>
      </c>
      <c r="H3045" s="156">
        <v>22590.98</v>
      </c>
      <c r="I3045" s="156">
        <v>27976.95</v>
      </c>
      <c r="J3045" s="156">
        <v>0</v>
      </c>
      <c r="K3045" s="131">
        <f t="shared" si="194"/>
        <v>50567.93</v>
      </c>
      <c r="L3045" s="134">
        <v>0.1792</v>
      </c>
    </row>
    <row r="3046" spans="3:12">
      <c r="C3046" s="161">
        <f t="shared" si="192"/>
        <v>2020</v>
      </c>
      <c r="D3046" s="35" t="s">
        <v>305</v>
      </c>
      <c r="E3046" s="227">
        <v>43862</v>
      </c>
      <c r="F3046" s="156">
        <v>1577497.23</v>
      </c>
      <c r="G3046" s="131">
        <f t="shared" si="193"/>
        <v>282687.503616</v>
      </c>
      <c r="H3046" s="156">
        <v>34453.5</v>
      </c>
      <c r="I3046" s="156">
        <v>15923</v>
      </c>
      <c r="J3046" s="156">
        <v>0</v>
      </c>
      <c r="K3046" s="131">
        <f t="shared" si="194"/>
        <v>50376.5</v>
      </c>
      <c r="L3046" s="134">
        <v>0.1792</v>
      </c>
    </row>
    <row r="3047" spans="3:12">
      <c r="C3047" s="161">
        <f t="shared" si="192"/>
        <v>2020</v>
      </c>
      <c r="D3047" s="35" t="s">
        <v>305</v>
      </c>
      <c r="E3047" s="227">
        <v>43891</v>
      </c>
      <c r="F3047" s="156">
        <v>1627799.6658000001</v>
      </c>
      <c r="G3047" s="131">
        <f t="shared" si="193"/>
        <v>291701.70011136</v>
      </c>
      <c r="H3047" s="156">
        <v>54848.77</v>
      </c>
      <c r="I3047" s="156">
        <v>16649.5</v>
      </c>
      <c r="J3047" s="156">
        <v>0</v>
      </c>
      <c r="K3047" s="131">
        <f t="shared" si="194"/>
        <v>71498.26999999999</v>
      </c>
      <c r="L3047" s="134">
        <v>0.1792</v>
      </c>
    </row>
    <row r="3048" spans="3:12">
      <c r="C3048" s="161">
        <f t="shared" si="192"/>
        <v>2020</v>
      </c>
      <c r="D3048" s="35" t="s">
        <v>305</v>
      </c>
      <c r="E3048" s="227">
        <v>43922</v>
      </c>
      <c r="F3048" s="156">
        <v>1667888.9955750001</v>
      </c>
      <c r="G3048" s="131">
        <f t="shared" si="193"/>
        <v>298885.70800704003</v>
      </c>
      <c r="H3048" s="156">
        <v>19808.98</v>
      </c>
      <c r="I3048" s="156">
        <v>26569.759999999998</v>
      </c>
      <c r="J3048" s="156">
        <v>0</v>
      </c>
      <c r="K3048" s="131">
        <f t="shared" si="194"/>
        <v>46378.74</v>
      </c>
      <c r="L3048" s="134">
        <v>0.1792</v>
      </c>
    </row>
    <row r="3049" spans="3:12">
      <c r="C3049" s="161">
        <f t="shared" si="192"/>
        <v>2020</v>
      </c>
      <c r="D3049" s="35" t="s">
        <v>305</v>
      </c>
      <c r="E3049" s="227">
        <v>43952</v>
      </c>
      <c r="F3049" s="156">
        <v>1571928.82</v>
      </c>
      <c r="G3049" s="131">
        <f t="shared" si="193"/>
        <v>281689.64454399998</v>
      </c>
      <c r="H3049" s="156">
        <v>15621.99</v>
      </c>
      <c r="I3049" s="156">
        <v>14897.33</v>
      </c>
      <c r="J3049" s="156">
        <v>0</v>
      </c>
      <c r="K3049" s="131">
        <f t="shared" si="194"/>
        <v>30519.32</v>
      </c>
      <c r="L3049" s="134">
        <v>0.1792</v>
      </c>
    </row>
    <row r="3050" spans="3:12">
      <c r="C3050" s="161">
        <f t="shared" si="192"/>
        <v>2020</v>
      </c>
      <c r="D3050" s="35" t="s">
        <v>305</v>
      </c>
      <c r="E3050" s="227">
        <v>43983</v>
      </c>
      <c r="F3050" s="156">
        <v>1529872.44</v>
      </c>
      <c r="G3050" s="131">
        <f t="shared" si="193"/>
        <v>274153.14124799997</v>
      </c>
      <c r="H3050" s="156">
        <v>6225.01</v>
      </c>
      <c r="I3050" s="156">
        <v>27443.9</v>
      </c>
      <c r="J3050" s="156">
        <v>0</v>
      </c>
      <c r="K3050" s="131">
        <f t="shared" si="194"/>
        <v>33668.910000000003</v>
      </c>
      <c r="L3050" s="134">
        <v>0.1792</v>
      </c>
    </row>
    <row r="3051" spans="3:12">
      <c r="C3051" s="161">
        <f t="shared" si="192"/>
        <v>2020</v>
      </c>
      <c r="D3051" s="35" t="s">
        <v>305</v>
      </c>
      <c r="E3051" s="227">
        <v>44013</v>
      </c>
      <c r="F3051" s="156">
        <v>1512909.98</v>
      </c>
      <c r="G3051" s="131">
        <f t="shared" si="193"/>
        <v>271113.46841600002</v>
      </c>
      <c r="H3051" s="156">
        <v>9168.7199999999993</v>
      </c>
      <c r="I3051" s="156">
        <v>20638.490000000002</v>
      </c>
      <c r="J3051" s="156">
        <v>0</v>
      </c>
      <c r="K3051" s="131">
        <f t="shared" si="194"/>
        <v>29807.21</v>
      </c>
      <c r="L3051" s="134">
        <v>0.1792</v>
      </c>
    </row>
    <row r="3052" spans="3:12">
      <c r="C3052" s="161">
        <f t="shared" si="192"/>
        <v>2020</v>
      </c>
      <c r="D3052" s="35" t="s">
        <v>305</v>
      </c>
      <c r="E3052" s="227">
        <v>44044</v>
      </c>
      <c r="F3052" s="156">
        <v>1593199.59</v>
      </c>
      <c r="G3052" s="131">
        <f t="shared" si="193"/>
        <v>285501.36652799998</v>
      </c>
      <c r="H3052" s="156">
        <v>15766.63</v>
      </c>
      <c r="I3052" s="156">
        <v>314093.62</v>
      </c>
      <c r="J3052" s="156">
        <v>0</v>
      </c>
      <c r="K3052" s="131">
        <f t="shared" si="194"/>
        <v>329860.25</v>
      </c>
      <c r="L3052" s="134">
        <v>0.1792</v>
      </c>
    </row>
    <row r="3053" spans="3:12">
      <c r="C3053" s="161">
        <f t="shared" si="192"/>
        <v>2020</v>
      </c>
      <c r="D3053" s="35" t="s">
        <v>305</v>
      </c>
      <c r="E3053" s="227">
        <v>44075</v>
      </c>
      <c r="F3053" s="156">
        <v>1755729.61</v>
      </c>
      <c r="G3053" s="131">
        <f t="shared" si="193"/>
        <v>314626.74611200002</v>
      </c>
      <c r="H3053" s="156">
        <v>17528.87</v>
      </c>
      <c r="I3053" s="156">
        <v>358745.09</v>
      </c>
      <c r="J3053" s="156">
        <v>2861.96</v>
      </c>
      <c r="K3053" s="131">
        <f t="shared" si="194"/>
        <v>379135.92000000004</v>
      </c>
      <c r="L3053" s="134">
        <v>0.1792</v>
      </c>
    </row>
    <row r="3054" spans="3:12">
      <c r="C3054" s="161">
        <f t="shared" si="192"/>
        <v>2020</v>
      </c>
      <c r="D3054" s="35" t="s">
        <v>305</v>
      </c>
      <c r="E3054" s="227">
        <v>44105</v>
      </c>
      <c r="F3054" s="156">
        <v>1895762.73</v>
      </c>
      <c r="G3054" s="131">
        <f t="shared" si="193"/>
        <v>339720.681216</v>
      </c>
      <c r="H3054" s="156">
        <v>39700.42</v>
      </c>
      <c r="I3054" s="156">
        <v>471717.08</v>
      </c>
      <c r="J3054" s="156">
        <v>49345</v>
      </c>
      <c r="K3054" s="131">
        <f t="shared" si="194"/>
        <v>560762.5</v>
      </c>
      <c r="L3054" s="134">
        <v>0.1792</v>
      </c>
    </row>
    <row r="3055" spans="3:12">
      <c r="C3055" s="161">
        <f t="shared" si="192"/>
        <v>2020</v>
      </c>
      <c r="D3055" s="35" t="s">
        <v>305</v>
      </c>
      <c r="E3055" s="227">
        <v>44136</v>
      </c>
      <c r="F3055" s="156">
        <v>1732252.14</v>
      </c>
      <c r="G3055" s="131">
        <f t="shared" si="193"/>
        <v>310419.58348799997</v>
      </c>
      <c r="H3055" s="156">
        <v>2869.97</v>
      </c>
      <c r="I3055" s="156">
        <v>582254.01</v>
      </c>
      <c r="J3055" s="156">
        <v>0</v>
      </c>
      <c r="K3055" s="131">
        <f t="shared" si="194"/>
        <v>585123.98</v>
      </c>
      <c r="L3055" s="134">
        <v>0.1792</v>
      </c>
    </row>
    <row r="3056" spans="3:12">
      <c r="C3056" s="161">
        <f t="shared" si="192"/>
        <v>2020</v>
      </c>
      <c r="D3056" s="35" t="s">
        <v>305</v>
      </c>
      <c r="E3056" s="227">
        <v>44166</v>
      </c>
      <c r="F3056" s="156">
        <v>1812729.11</v>
      </c>
      <c r="G3056" s="131">
        <f t="shared" si="193"/>
        <v>324841.05651200004</v>
      </c>
      <c r="H3056" s="156">
        <v>42228.68</v>
      </c>
      <c r="I3056" s="156">
        <v>414513.59</v>
      </c>
      <c r="J3056" s="156">
        <v>0</v>
      </c>
      <c r="K3056" s="131">
        <f t="shared" si="194"/>
        <v>456742.27</v>
      </c>
      <c r="L3056" s="134">
        <v>0.1792</v>
      </c>
    </row>
    <row r="3057" spans="3:12">
      <c r="C3057" s="161">
        <f t="shared" si="192"/>
        <v>2021</v>
      </c>
      <c r="D3057" s="35" t="s">
        <v>305</v>
      </c>
      <c r="E3057" s="227">
        <v>44197</v>
      </c>
      <c r="F3057" s="156">
        <v>1804116.84</v>
      </c>
      <c r="G3057" s="131">
        <f t="shared" si="193"/>
        <v>323297.73772800004</v>
      </c>
      <c r="H3057" s="156">
        <v>31091</v>
      </c>
      <c r="I3057" s="156">
        <v>52888.9</v>
      </c>
      <c r="J3057" s="156">
        <v>21360</v>
      </c>
      <c r="K3057" s="131">
        <f t="shared" si="194"/>
        <v>105339.9</v>
      </c>
      <c r="L3057" s="134">
        <v>0.1792</v>
      </c>
    </row>
    <row r="3058" spans="3:12">
      <c r="C3058" s="161">
        <f t="shared" si="192"/>
        <v>2021</v>
      </c>
      <c r="D3058" s="35" t="s">
        <v>305</v>
      </c>
      <c r="E3058" s="227">
        <v>44229</v>
      </c>
      <c r="F3058" s="156">
        <v>1731535.79</v>
      </c>
      <c r="G3058" s="131">
        <f t="shared" si="193"/>
        <v>310291.21356800001</v>
      </c>
      <c r="H3058" s="156">
        <v>8190.24</v>
      </c>
      <c r="I3058" s="156">
        <v>36285.07</v>
      </c>
      <c r="J3058" s="156">
        <v>0</v>
      </c>
      <c r="K3058" s="131">
        <f t="shared" si="194"/>
        <v>44475.31</v>
      </c>
      <c r="L3058" s="134">
        <v>0.1792</v>
      </c>
    </row>
    <row r="3059" spans="3:12">
      <c r="C3059" s="161">
        <f t="shared" si="192"/>
        <v>2021</v>
      </c>
      <c r="D3059" s="35" t="s">
        <v>305</v>
      </c>
      <c r="E3059" s="227">
        <v>44258</v>
      </c>
      <c r="F3059" s="156">
        <v>1681837.46</v>
      </c>
      <c r="G3059" s="131">
        <f t="shared" si="193"/>
        <v>301385.27283199999</v>
      </c>
      <c r="H3059" s="156">
        <v>16068.94</v>
      </c>
      <c r="I3059" s="156">
        <v>46682.68</v>
      </c>
      <c r="J3059" s="156">
        <v>0</v>
      </c>
      <c r="K3059" s="131">
        <f t="shared" si="194"/>
        <v>62751.62</v>
      </c>
      <c r="L3059" s="134">
        <v>0.1792</v>
      </c>
    </row>
    <row r="3060" spans="3:12">
      <c r="C3060" s="161">
        <f t="shared" si="192"/>
        <v>2021</v>
      </c>
      <c r="D3060" s="35" t="s">
        <v>305</v>
      </c>
      <c r="E3060" s="227">
        <v>44290</v>
      </c>
      <c r="F3060" s="156">
        <v>1848566.03</v>
      </c>
      <c r="G3060" s="131">
        <f t="shared" si="193"/>
        <v>331263.03257600003</v>
      </c>
      <c r="H3060" s="156">
        <v>22342.35</v>
      </c>
      <c r="I3060" s="156">
        <v>57821.96</v>
      </c>
      <c r="J3060" s="156">
        <v>2080</v>
      </c>
      <c r="K3060" s="131">
        <f t="shared" si="194"/>
        <v>82244.31</v>
      </c>
      <c r="L3060" s="134">
        <v>0.1792</v>
      </c>
    </row>
    <row r="3061" spans="3:12">
      <c r="C3061" s="161">
        <f t="shared" si="192"/>
        <v>2021</v>
      </c>
      <c r="D3061" s="35" t="s">
        <v>305</v>
      </c>
      <c r="E3061" s="227">
        <v>44321</v>
      </c>
      <c r="F3061" s="156">
        <v>1654616.84</v>
      </c>
      <c r="G3061" s="131">
        <f t="shared" si="193"/>
        <v>296507.33772800001</v>
      </c>
      <c r="H3061" s="156">
        <v>11468.22</v>
      </c>
      <c r="I3061" s="156">
        <v>26092.44</v>
      </c>
      <c r="J3061" s="156">
        <v>7946.56</v>
      </c>
      <c r="K3061" s="131">
        <f t="shared" si="194"/>
        <v>45507.219999999994</v>
      </c>
      <c r="L3061" s="134">
        <v>0.1792</v>
      </c>
    </row>
    <row r="3062" spans="3:12">
      <c r="C3062" s="161">
        <f t="shared" si="192"/>
        <v>2021</v>
      </c>
      <c r="D3062" s="35" t="s">
        <v>305</v>
      </c>
      <c r="E3062" s="227">
        <v>44353</v>
      </c>
      <c r="F3062" s="156">
        <v>1661676.08</v>
      </c>
      <c r="G3062" s="131">
        <f t="shared" si="193"/>
        <v>297772.35353600001</v>
      </c>
      <c r="H3062" s="156">
        <v>4866.28</v>
      </c>
      <c r="I3062" s="156">
        <v>26068.44</v>
      </c>
      <c r="J3062" s="156">
        <v>3530.8</v>
      </c>
      <c r="K3062" s="131">
        <f t="shared" si="194"/>
        <v>34465.519999999997</v>
      </c>
      <c r="L3062" s="134">
        <v>0.1792</v>
      </c>
    </row>
    <row r="3063" spans="3:12">
      <c r="C3063" s="161">
        <f t="shared" si="192"/>
        <v>2015</v>
      </c>
      <c r="D3063" s="35" t="s">
        <v>306</v>
      </c>
      <c r="E3063" s="227">
        <v>42309</v>
      </c>
      <c r="F3063" s="156">
        <v>189410.47</v>
      </c>
      <c r="G3063" s="131">
        <f t="shared" si="193"/>
        <v>33942.356224000003</v>
      </c>
      <c r="H3063" s="156">
        <v>711.15</v>
      </c>
      <c r="I3063" s="156">
        <v>0</v>
      </c>
      <c r="J3063" s="156">
        <v>0</v>
      </c>
      <c r="K3063" s="131">
        <f t="shared" si="194"/>
        <v>711.15</v>
      </c>
      <c r="L3063" s="134">
        <v>0.1792</v>
      </c>
    </row>
    <row r="3064" spans="3:12">
      <c r="C3064" s="161">
        <f t="shared" si="192"/>
        <v>2015</v>
      </c>
      <c r="D3064" s="35" t="s">
        <v>306</v>
      </c>
      <c r="E3064" s="227">
        <v>42339</v>
      </c>
      <c r="F3064" s="156">
        <v>191607.03</v>
      </c>
      <c r="G3064" s="131">
        <f t="shared" si="193"/>
        <v>34335.979776</v>
      </c>
      <c r="H3064" s="156">
        <v>1623.05</v>
      </c>
      <c r="I3064" s="156">
        <v>9706.7800000000007</v>
      </c>
      <c r="J3064" s="156">
        <v>0</v>
      </c>
      <c r="K3064" s="131">
        <f t="shared" si="194"/>
        <v>11329.83</v>
      </c>
      <c r="L3064" s="134">
        <v>0.1792</v>
      </c>
    </row>
    <row r="3065" spans="3:12">
      <c r="C3065" s="161">
        <f t="shared" si="192"/>
        <v>2016</v>
      </c>
      <c r="D3065" s="35" t="s">
        <v>306</v>
      </c>
      <c r="E3065" s="227">
        <v>42370</v>
      </c>
      <c r="F3065" s="156">
        <v>187555.91</v>
      </c>
      <c r="G3065" s="131">
        <f t="shared" si="193"/>
        <v>33610.019072000003</v>
      </c>
      <c r="H3065" s="156">
        <v>1482.33</v>
      </c>
      <c r="I3065" s="156">
        <v>1158.4000000000001</v>
      </c>
      <c r="J3065" s="156">
        <v>0</v>
      </c>
      <c r="K3065" s="131">
        <f t="shared" si="194"/>
        <v>2640.73</v>
      </c>
      <c r="L3065" s="134">
        <v>0.1792</v>
      </c>
    </row>
    <row r="3066" spans="3:12">
      <c r="C3066" s="161">
        <f t="shared" si="192"/>
        <v>2016</v>
      </c>
      <c r="D3066" s="35" t="s">
        <v>306</v>
      </c>
      <c r="E3066" s="227">
        <v>42401</v>
      </c>
      <c r="F3066" s="156">
        <v>180549.59</v>
      </c>
      <c r="G3066" s="131">
        <f t="shared" si="193"/>
        <v>32354.486527999998</v>
      </c>
      <c r="H3066" s="156">
        <v>356.53</v>
      </c>
      <c r="I3066" s="156">
        <v>1558.97</v>
      </c>
      <c r="J3066" s="156">
        <v>0</v>
      </c>
      <c r="K3066" s="131">
        <f t="shared" si="194"/>
        <v>1915.5</v>
      </c>
      <c r="L3066" s="134">
        <v>0.1792</v>
      </c>
    </row>
    <row r="3067" spans="3:12">
      <c r="C3067" s="161">
        <f t="shared" si="192"/>
        <v>2016</v>
      </c>
      <c r="D3067" s="35" t="s">
        <v>306</v>
      </c>
      <c r="E3067" s="227">
        <v>42430</v>
      </c>
      <c r="F3067" s="156">
        <v>167379.12</v>
      </c>
      <c r="G3067" s="131">
        <f t="shared" si="193"/>
        <v>29994.338303999997</v>
      </c>
      <c r="H3067" s="156">
        <v>3906.63</v>
      </c>
      <c r="I3067" s="156">
        <v>0</v>
      </c>
      <c r="J3067" s="156">
        <v>0</v>
      </c>
      <c r="K3067" s="131">
        <f t="shared" si="194"/>
        <v>3906.63</v>
      </c>
      <c r="L3067" s="134">
        <v>0.1792</v>
      </c>
    </row>
    <row r="3068" spans="3:12">
      <c r="C3068" s="161">
        <f t="shared" si="192"/>
        <v>2016</v>
      </c>
      <c r="D3068" s="35" t="s">
        <v>306</v>
      </c>
      <c r="E3068" s="227">
        <v>42461</v>
      </c>
      <c r="F3068" s="156">
        <v>188039.86</v>
      </c>
      <c r="G3068" s="131">
        <f t="shared" si="193"/>
        <v>33696.742911999994</v>
      </c>
      <c r="H3068" s="156">
        <v>7227</v>
      </c>
      <c r="I3068" s="156">
        <v>0</v>
      </c>
      <c r="J3068" s="156">
        <v>0</v>
      </c>
      <c r="K3068" s="131">
        <f t="shared" si="194"/>
        <v>7227</v>
      </c>
      <c r="L3068" s="134">
        <v>0.1792</v>
      </c>
    </row>
    <row r="3069" spans="3:12">
      <c r="C3069" s="161">
        <f t="shared" si="192"/>
        <v>2016</v>
      </c>
      <c r="D3069" s="35" t="s">
        <v>306</v>
      </c>
      <c r="E3069" s="227">
        <v>42491</v>
      </c>
      <c r="F3069" s="156">
        <v>176580.88</v>
      </c>
      <c r="G3069" s="131">
        <f t="shared" si="193"/>
        <v>31643.293696000001</v>
      </c>
      <c r="H3069" s="156">
        <v>1162.6199999999999</v>
      </c>
      <c r="I3069" s="156">
        <v>0</v>
      </c>
      <c r="J3069" s="156">
        <v>0</v>
      </c>
      <c r="K3069" s="131">
        <f t="shared" si="194"/>
        <v>1162.6199999999999</v>
      </c>
      <c r="L3069" s="134">
        <v>0.1792</v>
      </c>
    </row>
    <row r="3070" spans="3:12">
      <c r="C3070" s="161">
        <f t="shared" si="192"/>
        <v>2016</v>
      </c>
      <c r="D3070" s="35" t="s">
        <v>306</v>
      </c>
      <c r="E3070" s="227">
        <v>42522</v>
      </c>
      <c r="F3070" s="156">
        <v>168706.95</v>
      </c>
      <c r="G3070" s="131">
        <f t="shared" si="193"/>
        <v>30232.285440000003</v>
      </c>
      <c r="H3070" s="156">
        <v>3427.84</v>
      </c>
      <c r="I3070" s="156">
        <v>0</v>
      </c>
      <c r="J3070" s="156">
        <v>0</v>
      </c>
      <c r="K3070" s="131">
        <f t="shared" si="194"/>
        <v>3427.84</v>
      </c>
      <c r="L3070" s="134">
        <v>0.1792</v>
      </c>
    </row>
    <row r="3071" spans="3:12">
      <c r="C3071" s="161">
        <f t="shared" si="192"/>
        <v>2016</v>
      </c>
      <c r="D3071" s="35" t="s">
        <v>306</v>
      </c>
      <c r="E3071" s="227">
        <v>42552</v>
      </c>
      <c r="F3071" s="156">
        <v>185942.22</v>
      </c>
      <c r="G3071" s="131">
        <f t="shared" si="193"/>
        <v>33320.845823999996</v>
      </c>
      <c r="H3071" s="156">
        <v>29259.27</v>
      </c>
      <c r="I3071" s="156">
        <v>56219.46</v>
      </c>
      <c r="J3071" s="156">
        <v>5720.06</v>
      </c>
      <c r="K3071" s="131">
        <f t="shared" si="194"/>
        <v>91198.79</v>
      </c>
      <c r="L3071" s="134">
        <v>0.1792</v>
      </c>
    </row>
    <row r="3072" spans="3:12">
      <c r="C3072" s="161">
        <f t="shared" si="192"/>
        <v>2016</v>
      </c>
      <c r="D3072" s="35" t="s">
        <v>306</v>
      </c>
      <c r="E3072" s="227">
        <v>42583</v>
      </c>
      <c r="F3072" s="156">
        <v>194807.19</v>
      </c>
      <c r="G3072" s="131">
        <f t="shared" si="193"/>
        <v>34909.448448000003</v>
      </c>
      <c r="H3072" s="156">
        <v>92599.56</v>
      </c>
      <c r="I3072" s="156">
        <v>1455.23</v>
      </c>
      <c r="J3072" s="156">
        <v>0</v>
      </c>
      <c r="K3072" s="131">
        <f t="shared" si="194"/>
        <v>94054.79</v>
      </c>
      <c r="L3072" s="134">
        <v>0.1792</v>
      </c>
    </row>
    <row r="3073" spans="3:12">
      <c r="C3073" s="161">
        <f t="shared" si="192"/>
        <v>2016</v>
      </c>
      <c r="D3073" s="35" t="s">
        <v>306</v>
      </c>
      <c r="E3073" s="227">
        <v>42614</v>
      </c>
      <c r="F3073" s="156">
        <v>198340.88</v>
      </c>
      <c r="G3073" s="131">
        <f t="shared" si="193"/>
        <v>35542.685696</v>
      </c>
      <c r="H3073" s="156">
        <v>57669.82</v>
      </c>
      <c r="I3073" s="156">
        <v>85.49</v>
      </c>
      <c r="J3073" s="156">
        <v>0</v>
      </c>
      <c r="K3073" s="131">
        <f t="shared" si="194"/>
        <v>57755.31</v>
      </c>
      <c r="L3073" s="134">
        <v>0.1792</v>
      </c>
    </row>
    <row r="3074" spans="3:12">
      <c r="C3074" s="161">
        <f t="shared" si="192"/>
        <v>2016</v>
      </c>
      <c r="D3074" s="35" t="s">
        <v>306</v>
      </c>
      <c r="E3074" s="227">
        <v>42644</v>
      </c>
      <c r="F3074" s="156">
        <v>226316.42</v>
      </c>
      <c r="G3074" s="131">
        <f t="shared" si="193"/>
        <v>40555.902463999999</v>
      </c>
      <c r="H3074" s="156">
        <v>575.11</v>
      </c>
      <c r="I3074" s="156">
        <v>1176.77</v>
      </c>
      <c r="J3074" s="156">
        <v>2037</v>
      </c>
      <c r="K3074" s="131">
        <f t="shared" si="194"/>
        <v>3788.88</v>
      </c>
      <c r="L3074" s="134">
        <v>0.1792</v>
      </c>
    </row>
    <row r="3075" spans="3:12">
      <c r="C3075" s="161">
        <f t="shared" si="192"/>
        <v>2016</v>
      </c>
      <c r="D3075" s="35" t="s">
        <v>306</v>
      </c>
      <c r="E3075" s="227">
        <v>42675</v>
      </c>
      <c r="F3075" s="156">
        <v>225200.45</v>
      </c>
      <c r="G3075" s="131">
        <f t="shared" si="193"/>
        <v>40355.920640000004</v>
      </c>
      <c r="H3075" s="156">
        <v>444043.61</v>
      </c>
      <c r="I3075" s="156">
        <v>0</v>
      </c>
      <c r="J3075" s="156">
        <v>0</v>
      </c>
      <c r="K3075" s="131">
        <f t="shared" si="194"/>
        <v>444043.61</v>
      </c>
      <c r="L3075" s="134">
        <v>0.1792</v>
      </c>
    </row>
    <row r="3076" spans="3:12">
      <c r="C3076" s="161">
        <f t="shared" ref="C3076:C3139" si="195">YEAR(E3076)</f>
        <v>2016</v>
      </c>
      <c r="D3076" s="35" t="s">
        <v>306</v>
      </c>
      <c r="E3076" s="227">
        <v>42705</v>
      </c>
      <c r="F3076" s="156">
        <v>214898.8</v>
      </c>
      <c r="G3076" s="131">
        <f t="shared" ref="G3076:G3139" si="196">F3076*L3076</f>
        <v>38509.864959999999</v>
      </c>
      <c r="H3076" s="156">
        <v>8516.98</v>
      </c>
      <c r="I3076" s="156">
        <v>124.24</v>
      </c>
      <c r="J3076" s="156">
        <v>0</v>
      </c>
      <c r="K3076" s="131">
        <f t="shared" ref="K3076:K3139" si="197">SUM(H3076:J3076)</f>
        <v>8641.2199999999993</v>
      </c>
      <c r="L3076" s="134">
        <v>0.1792</v>
      </c>
    </row>
    <row r="3077" spans="3:12">
      <c r="C3077" s="161">
        <f t="shared" si="195"/>
        <v>2017</v>
      </c>
      <c r="D3077" s="35" t="s">
        <v>306</v>
      </c>
      <c r="E3077" s="227">
        <v>42736</v>
      </c>
      <c r="F3077" s="156">
        <v>225273</v>
      </c>
      <c r="G3077" s="131">
        <f t="shared" si="196"/>
        <v>40368.921600000001</v>
      </c>
      <c r="H3077" s="156">
        <v>2390.21</v>
      </c>
      <c r="I3077" s="156">
        <v>0</v>
      </c>
      <c r="J3077" s="156">
        <v>0</v>
      </c>
      <c r="K3077" s="131">
        <f t="shared" si="197"/>
        <v>2390.21</v>
      </c>
      <c r="L3077" s="134">
        <v>0.1792</v>
      </c>
    </row>
    <row r="3078" spans="3:12">
      <c r="C3078" s="161">
        <f t="shared" si="195"/>
        <v>2017</v>
      </c>
      <c r="D3078" s="35" t="s">
        <v>306</v>
      </c>
      <c r="E3078" s="227">
        <v>42767</v>
      </c>
      <c r="F3078" s="156">
        <v>209350</v>
      </c>
      <c r="G3078" s="131">
        <f t="shared" si="196"/>
        <v>37515.519999999997</v>
      </c>
      <c r="H3078" s="156">
        <v>82119.48</v>
      </c>
      <c r="I3078" s="156">
        <v>1595.77</v>
      </c>
      <c r="J3078" s="156">
        <v>0</v>
      </c>
      <c r="K3078" s="131">
        <f t="shared" si="197"/>
        <v>83715.25</v>
      </c>
      <c r="L3078" s="134">
        <v>0.1792</v>
      </c>
    </row>
    <row r="3079" spans="3:12">
      <c r="C3079" s="161">
        <f t="shared" si="195"/>
        <v>2017</v>
      </c>
      <c r="D3079" s="35" t="s">
        <v>306</v>
      </c>
      <c r="E3079" s="227">
        <v>42795</v>
      </c>
      <c r="F3079" s="156">
        <v>202112.19</v>
      </c>
      <c r="G3079" s="131">
        <f t="shared" si="196"/>
        <v>36218.504448</v>
      </c>
      <c r="H3079" s="156">
        <v>2190.85</v>
      </c>
      <c r="I3079" s="156">
        <v>0</v>
      </c>
      <c r="J3079" s="156">
        <v>974.2</v>
      </c>
      <c r="K3079" s="131">
        <f t="shared" si="197"/>
        <v>3165.05</v>
      </c>
      <c r="L3079" s="134">
        <v>0.1792</v>
      </c>
    </row>
    <row r="3080" spans="3:12">
      <c r="C3080" s="161">
        <f t="shared" si="195"/>
        <v>2017</v>
      </c>
      <c r="D3080" s="35" t="s">
        <v>306</v>
      </c>
      <c r="E3080" s="227">
        <v>42826</v>
      </c>
      <c r="F3080" s="156">
        <v>202290.57</v>
      </c>
      <c r="G3080" s="131">
        <f t="shared" si="196"/>
        <v>36250.470143999999</v>
      </c>
      <c r="H3080" s="156">
        <v>35015.26</v>
      </c>
      <c r="I3080" s="156">
        <v>0</v>
      </c>
      <c r="J3080" s="156">
        <v>0</v>
      </c>
      <c r="K3080" s="131">
        <f t="shared" si="197"/>
        <v>35015.26</v>
      </c>
      <c r="L3080" s="134">
        <v>0.1792</v>
      </c>
    </row>
    <row r="3081" spans="3:12">
      <c r="C3081" s="161">
        <f t="shared" si="195"/>
        <v>2017</v>
      </c>
      <c r="D3081" s="35" t="s">
        <v>306</v>
      </c>
      <c r="E3081" s="227">
        <v>42856</v>
      </c>
      <c r="F3081" s="156">
        <v>201855.34</v>
      </c>
      <c r="G3081" s="131">
        <f t="shared" si="196"/>
        <v>36172.476927999996</v>
      </c>
      <c r="H3081" s="156">
        <v>120002.27</v>
      </c>
      <c r="I3081" s="156">
        <v>0</v>
      </c>
      <c r="J3081" s="156">
        <v>0</v>
      </c>
      <c r="K3081" s="131">
        <f t="shared" si="197"/>
        <v>120002.27</v>
      </c>
      <c r="L3081" s="134">
        <v>0.1792</v>
      </c>
    </row>
    <row r="3082" spans="3:12">
      <c r="C3082" s="161">
        <f t="shared" si="195"/>
        <v>2017</v>
      </c>
      <c r="D3082" s="35" t="s">
        <v>306</v>
      </c>
      <c r="E3082" s="227">
        <v>42887</v>
      </c>
      <c r="F3082" s="156">
        <v>195479.03</v>
      </c>
      <c r="G3082" s="131">
        <f t="shared" si="196"/>
        <v>35029.842175999998</v>
      </c>
      <c r="H3082" s="156">
        <v>37334.75</v>
      </c>
      <c r="I3082" s="156">
        <v>1636.96</v>
      </c>
      <c r="J3082" s="156">
        <v>0</v>
      </c>
      <c r="K3082" s="131">
        <f t="shared" si="197"/>
        <v>38971.71</v>
      </c>
      <c r="L3082" s="134">
        <v>0.1792</v>
      </c>
    </row>
    <row r="3083" spans="3:12">
      <c r="C3083" s="161">
        <f t="shared" si="195"/>
        <v>2017</v>
      </c>
      <c r="D3083" s="35" t="s">
        <v>306</v>
      </c>
      <c r="E3083" s="227">
        <v>42917</v>
      </c>
      <c r="F3083" s="156">
        <v>205322.09</v>
      </c>
      <c r="G3083" s="131">
        <f t="shared" si="196"/>
        <v>36793.718527999998</v>
      </c>
      <c r="H3083" s="156">
        <v>583.25</v>
      </c>
      <c r="I3083" s="156">
        <v>3815.45</v>
      </c>
      <c r="J3083" s="156">
        <v>2790.1</v>
      </c>
      <c r="K3083" s="131">
        <f t="shared" si="197"/>
        <v>7188.7999999999993</v>
      </c>
      <c r="L3083" s="134">
        <v>0.1792</v>
      </c>
    </row>
    <row r="3084" spans="3:12">
      <c r="C3084" s="161">
        <f t="shared" si="195"/>
        <v>2017</v>
      </c>
      <c r="D3084" s="35" t="s">
        <v>306</v>
      </c>
      <c r="E3084" s="227">
        <v>42948</v>
      </c>
      <c r="F3084" s="156">
        <v>203850.45</v>
      </c>
      <c r="G3084" s="131">
        <f t="shared" si="196"/>
        <v>36530.000639999998</v>
      </c>
      <c r="H3084" s="156">
        <v>226777.98</v>
      </c>
      <c r="I3084" s="156">
        <v>7855.8</v>
      </c>
      <c r="J3084" s="156">
        <v>0</v>
      </c>
      <c r="K3084" s="131">
        <f t="shared" si="197"/>
        <v>234633.78</v>
      </c>
      <c r="L3084" s="134">
        <v>0.1792</v>
      </c>
    </row>
    <row r="3085" spans="3:12">
      <c r="C3085" s="161">
        <f t="shared" si="195"/>
        <v>2017</v>
      </c>
      <c r="D3085" s="35" t="s">
        <v>306</v>
      </c>
      <c r="E3085" s="227">
        <v>42979</v>
      </c>
      <c r="F3085" s="156">
        <v>229020.26</v>
      </c>
      <c r="G3085" s="131">
        <f t="shared" si="196"/>
        <v>41040.430592000004</v>
      </c>
      <c r="H3085" s="156">
        <v>436.67</v>
      </c>
      <c r="I3085" s="156">
        <v>0</v>
      </c>
      <c r="J3085" s="156">
        <v>0</v>
      </c>
      <c r="K3085" s="131">
        <f t="shared" si="197"/>
        <v>436.67</v>
      </c>
      <c r="L3085" s="134">
        <v>0.1792</v>
      </c>
    </row>
    <row r="3086" spans="3:12">
      <c r="C3086" s="161">
        <f t="shared" si="195"/>
        <v>2017</v>
      </c>
      <c r="D3086" s="35" t="s">
        <v>306</v>
      </c>
      <c r="E3086" s="227">
        <v>43009</v>
      </c>
      <c r="F3086" s="156">
        <v>221630.35</v>
      </c>
      <c r="G3086" s="131">
        <f t="shared" si="196"/>
        <v>39716.158719999999</v>
      </c>
      <c r="H3086" s="156">
        <v>270858.67</v>
      </c>
      <c r="I3086" s="156">
        <v>3736.13</v>
      </c>
      <c r="J3086" s="156">
        <v>0</v>
      </c>
      <c r="K3086" s="131">
        <f t="shared" si="197"/>
        <v>274594.8</v>
      </c>
      <c r="L3086" s="134">
        <v>0.1792</v>
      </c>
    </row>
    <row r="3087" spans="3:12">
      <c r="C3087" s="161">
        <f t="shared" si="195"/>
        <v>2017</v>
      </c>
      <c r="D3087" s="35" t="s">
        <v>306</v>
      </c>
      <c r="E3087" s="227">
        <v>43040</v>
      </c>
      <c r="F3087" s="156">
        <v>219187.01</v>
      </c>
      <c r="G3087" s="131">
        <f t="shared" si="196"/>
        <v>39278.312192000005</v>
      </c>
      <c r="H3087" s="156">
        <v>375.79</v>
      </c>
      <c r="I3087" s="156">
        <v>0</v>
      </c>
      <c r="J3087" s="156">
        <v>4186</v>
      </c>
      <c r="K3087" s="131">
        <f t="shared" si="197"/>
        <v>4561.79</v>
      </c>
      <c r="L3087" s="134">
        <v>0.1792</v>
      </c>
    </row>
    <row r="3088" spans="3:12">
      <c r="C3088" s="161">
        <f t="shared" si="195"/>
        <v>2017</v>
      </c>
      <c r="D3088" s="35" t="s">
        <v>306</v>
      </c>
      <c r="E3088" s="227">
        <v>43070</v>
      </c>
      <c r="F3088" s="156">
        <v>215390.91</v>
      </c>
      <c r="G3088" s="131">
        <f t="shared" si="196"/>
        <v>38598.051072000002</v>
      </c>
      <c r="H3088" s="156">
        <v>-1803.94</v>
      </c>
      <c r="I3088" s="156">
        <v>261.22000000000003</v>
      </c>
      <c r="J3088" s="156">
        <v>0</v>
      </c>
      <c r="K3088" s="131">
        <f t="shared" si="197"/>
        <v>-1542.72</v>
      </c>
      <c r="L3088" s="134">
        <v>0.1792</v>
      </c>
    </row>
    <row r="3089" spans="3:12">
      <c r="C3089" s="161">
        <f t="shared" si="195"/>
        <v>2018</v>
      </c>
      <c r="D3089" s="35" t="s">
        <v>306</v>
      </c>
      <c r="E3089" s="227">
        <v>43101</v>
      </c>
      <c r="F3089" s="156">
        <v>218001.36</v>
      </c>
      <c r="G3089" s="131">
        <f t="shared" si="196"/>
        <v>39065.843711999994</v>
      </c>
      <c r="H3089" s="156">
        <v>527.63</v>
      </c>
      <c r="I3089" s="156">
        <v>3188.05</v>
      </c>
      <c r="J3089" s="156">
        <v>0</v>
      </c>
      <c r="K3089" s="131">
        <f t="shared" si="197"/>
        <v>3715.6800000000003</v>
      </c>
      <c r="L3089" s="134">
        <v>0.1792</v>
      </c>
    </row>
    <row r="3090" spans="3:12">
      <c r="C3090" s="161">
        <f t="shared" si="195"/>
        <v>2018</v>
      </c>
      <c r="D3090" s="35" t="s">
        <v>306</v>
      </c>
      <c r="E3090" s="227">
        <v>43132</v>
      </c>
      <c r="F3090" s="156">
        <v>218720.5</v>
      </c>
      <c r="G3090" s="131">
        <f t="shared" si="196"/>
        <v>39194.713600000003</v>
      </c>
      <c r="H3090" s="156">
        <v>253.49</v>
      </c>
      <c r="I3090" s="156">
        <v>2627.95</v>
      </c>
      <c r="J3090" s="156">
        <v>0</v>
      </c>
      <c r="K3090" s="131">
        <f t="shared" si="197"/>
        <v>2881.4399999999996</v>
      </c>
      <c r="L3090" s="134">
        <v>0.1792</v>
      </c>
    </row>
    <row r="3091" spans="3:12">
      <c r="C3091" s="161">
        <f t="shared" si="195"/>
        <v>2018</v>
      </c>
      <c r="D3091" s="35" t="s">
        <v>306</v>
      </c>
      <c r="E3091" s="227">
        <v>43160</v>
      </c>
      <c r="F3091" s="156">
        <v>192433.52</v>
      </c>
      <c r="G3091" s="131">
        <f t="shared" si="196"/>
        <v>34484.086783999999</v>
      </c>
      <c r="H3091" s="156">
        <v>311.56</v>
      </c>
      <c r="I3091" s="156">
        <v>164.83</v>
      </c>
      <c r="J3091" s="156">
        <v>0</v>
      </c>
      <c r="K3091" s="131">
        <f t="shared" si="197"/>
        <v>476.39</v>
      </c>
      <c r="L3091" s="134">
        <v>0.1792</v>
      </c>
    </row>
    <row r="3092" spans="3:12">
      <c r="C3092" s="161">
        <f t="shared" si="195"/>
        <v>2018</v>
      </c>
      <c r="D3092" s="35" t="s">
        <v>306</v>
      </c>
      <c r="E3092" s="227">
        <v>43191</v>
      </c>
      <c r="F3092" s="156">
        <v>215046.91</v>
      </c>
      <c r="G3092" s="131">
        <f t="shared" si="196"/>
        <v>38536.406272</v>
      </c>
      <c r="H3092" s="156">
        <v>879.32</v>
      </c>
      <c r="I3092" s="156">
        <v>0</v>
      </c>
      <c r="J3092" s="156">
        <v>0</v>
      </c>
      <c r="K3092" s="131">
        <f t="shared" si="197"/>
        <v>879.32</v>
      </c>
      <c r="L3092" s="134">
        <v>0.1792</v>
      </c>
    </row>
    <row r="3093" spans="3:12">
      <c r="C3093" s="161">
        <f t="shared" si="195"/>
        <v>2018</v>
      </c>
      <c r="D3093" s="35" t="s">
        <v>306</v>
      </c>
      <c r="E3093" s="227">
        <v>43221</v>
      </c>
      <c r="F3093" s="156">
        <v>216936.39</v>
      </c>
      <c r="G3093" s="131">
        <f t="shared" si="196"/>
        <v>38875.001088000005</v>
      </c>
      <c r="H3093" s="156">
        <v>2628.28</v>
      </c>
      <c r="I3093" s="156">
        <v>56771.64</v>
      </c>
      <c r="J3093" s="156">
        <v>0</v>
      </c>
      <c r="K3093" s="131">
        <f t="shared" si="197"/>
        <v>59399.92</v>
      </c>
      <c r="L3093" s="134">
        <v>0.1792</v>
      </c>
    </row>
    <row r="3094" spans="3:12">
      <c r="C3094" s="161">
        <f t="shared" si="195"/>
        <v>2018</v>
      </c>
      <c r="D3094" s="35" t="s">
        <v>306</v>
      </c>
      <c r="E3094" s="227">
        <v>43252</v>
      </c>
      <c r="F3094" s="156">
        <v>186595.6</v>
      </c>
      <c r="G3094" s="131">
        <f t="shared" si="196"/>
        <v>33437.931519999998</v>
      </c>
      <c r="H3094" s="156">
        <v>2192.5700000000002</v>
      </c>
      <c r="I3094" s="156">
        <v>0</v>
      </c>
      <c r="J3094" s="156">
        <v>1100</v>
      </c>
      <c r="K3094" s="131">
        <f t="shared" si="197"/>
        <v>3292.57</v>
      </c>
      <c r="L3094" s="134">
        <v>0.1792</v>
      </c>
    </row>
    <row r="3095" spans="3:12">
      <c r="C3095" s="161">
        <f t="shared" si="195"/>
        <v>2018</v>
      </c>
      <c r="D3095" s="35" t="s">
        <v>306</v>
      </c>
      <c r="E3095" s="227">
        <v>43282</v>
      </c>
      <c r="F3095" s="156">
        <v>201629.07</v>
      </c>
      <c r="G3095" s="131">
        <f t="shared" si="196"/>
        <v>36131.929344000004</v>
      </c>
      <c r="H3095" s="156">
        <v>470.31</v>
      </c>
      <c r="I3095" s="156">
        <v>0</v>
      </c>
      <c r="J3095" s="156">
        <v>0</v>
      </c>
      <c r="K3095" s="131">
        <f t="shared" si="197"/>
        <v>470.31</v>
      </c>
      <c r="L3095" s="134">
        <v>0.1792</v>
      </c>
    </row>
    <row r="3096" spans="3:12">
      <c r="C3096" s="161">
        <f t="shared" si="195"/>
        <v>2018</v>
      </c>
      <c r="D3096" s="35" t="s">
        <v>306</v>
      </c>
      <c r="E3096" s="227">
        <v>43313</v>
      </c>
      <c r="F3096" s="156">
        <v>201286.39</v>
      </c>
      <c r="G3096" s="131">
        <f t="shared" si="196"/>
        <v>36070.521088000001</v>
      </c>
      <c r="H3096" s="156">
        <v>590.67999999999995</v>
      </c>
      <c r="I3096" s="156">
        <v>1282.8800000000001</v>
      </c>
      <c r="J3096" s="156">
        <v>666.66</v>
      </c>
      <c r="K3096" s="131">
        <f t="shared" si="197"/>
        <v>2540.2199999999998</v>
      </c>
      <c r="L3096" s="134">
        <v>0.1792</v>
      </c>
    </row>
    <row r="3097" spans="3:12">
      <c r="C3097" s="161">
        <f t="shared" si="195"/>
        <v>2018</v>
      </c>
      <c r="D3097" s="35" t="s">
        <v>306</v>
      </c>
      <c r="E3097" s="227">
        <v>43344</v>
      </c>
      <c r="F3097" s="156">
        <v>210397.01</v>
      </c>
      <c r="G3097" s="131">
        <f t="shared" si="196"/>
        <v>37703.144192</v>
      </c>
      <c r="H3097" s="156">
        <v>285.18</v>
      </c>
      <c r="I3097" s="156">
        <v>0</v>
      </c>
      <c r="J3097" s="156">
        <v>0</v>
      </c>
      <c r="K3097" s="131">
        <f t="shared" si="197"/>
        <v>285.18</v>
      </c>
      <c r="L3097" s="134">
        <v>0.1792</v>
      </c>
    </row>
    <row r="3098" spans="3:12">
      <c r="C3098" s="161">
        <f t="shared" si="195"/>
        <v>2018</v>
      </c>
      <c r="D3098" s="35" t="s">
        <v>306</v>
      </c>
      <c r="E3098" s="227">
        <v>43374</v>
      </c>
      <c r="F3098" s="156">
        <v>216392.55</v>
      </c>
      <c r="G3098" s="131">
        <f t="shared" si="196"/>
        <v>38777.544959999999</v>
      </c>
      <c r="H3098" s="156">
        <v>368.79</v>
      </c>
      <c r="I3098" s="156">
        <v>2016.84</v>
      </c>
      <c r="J3098" s="156">
        <v>0</v>
      </c>
      <c r="K3098" s="131">
        <f t="shared" si="197"/>
        <v>2385.63</v>
      </c>
      <c r="L3098" s="134">
        <v>0.1792</v>
      </c>
    </row>
    <row r="3099" spans="3:12">
      <c r="C3099" s="161">
        <f t="shared" si="195"/>
        <v>2018</v>
      </c>
      <c r="D3099" s="35" t="s">
        <v>306</v>
      </c>
      <c r="E3099" s="227">
        <v>43405</v>
      </c>
      <c r="F3099" s="156">
        <v>226592.85824999999</v>
      </c>
      <c r="G3099" s="131">
        <f t="shared" si="196"/>
        <v>40605.4401984</v>
      </c>
      <c r="H3099" s="156">
        <v>136.13</v>
      </c>
      <c r="I3099" s="156">
        <v>0</v>
      </c>
      <c r="J3099" s="156">
        <v>43222.5</v>
      </c>
      <c r="K3099" s="131">
        <f t="shared" si="197"/>
        <v>43358.63</v>
      </c>
      <c r="L3099" s="134">
        <v>0.1792</v>
      </c>
    </row>
    <row r="3100" spans="3:12">
      <c r="C3100" s="161">
        <f t="shared" si="195"/>
        <v>2018</v>
      </c>
      <c r="D3100" s="35" t="s">
        <v>306</v>
      </c>
      <c r="E3100" s="227">
        <v>43435</v>
      </c>
      <c r="F3100" s="156">
        <v>231990.33</v>
      </c>
      <c r="G3100" s="131">
        <f t="shared" si="196"/>
        <v>41572.667135999996</v>
      </c>
      <c r="H3100" s="156">
        <v>2861.46</v>
      </c>
      <c r="I3100" s="156">
        <v>0</v>
      </c>
      <c r="J3100" s="156">
        <v>0</v>
      </c>
      <c r="K3100" s="131">
        <f t="shared" si="197"/>
        <v>2861.46</v>
      </c>
      <c r="L3100" s="134">
        <v>0.1792</v>
      </c>
    </row>
    <row r="3101" spans="3:12">
      <c r="C3101" s="161">
        <f t="shared" si="195"/>
        <v>2019</v>
      </c>
      <c r="D3101" s="35" t="s">
        <v>306</v>
      </c>
      <c r="E3101" s="227">
        <v>43466</v>
      </c>
      <c r="F3101" s="156">
        <v>239469.81</v>
      </c>
      <c r="G3101" s="131">
        <f t="shared" si="196"/>
        <v>42912.989951999996</v>
      </c>
      <c r="H3101" s="156">
        <v>825.87</v>
      </c>
      <c r="I3101" s="156">
        <v>6951.06</v>
      </c>
      <c r="J3101" s="156">
        <v>0</v>
      </c>
      <c r="K3101" s="131">
        <f t="shared" si="197"/>
        <v>7776.93</v>
      </c>
      <c r="L3101" s="134">
        <v>0.1792</v>
      </c>
    </row>
    <row r="3102" spans="3:12">
      <c r="C3102" s="161">
        <f t="shared" si="195"/>
        <v>2019</v>
      </c>
      <c r="D3102" s="35" t="s">
        <v>306</v>
      </c>
      <c r="E3102" s="227">
        <v>43497</v>
      </c>
      <c r="F3102" s="156">
        <v>232988.81</v>
      </c>
      <c r="G3102" s="131">
        <f t="shared" si="196"/>
        <v>41751.594751999997</v>
      </c>
      <c r="H3102" s="156">
        <v>591.14</v>
      </c>
      <c r="I3102" s="156">
        <v>0</v>
      </c>
      <c r="J3102" s="156">
        <v>0</v>
      </c>
      <c r="K3102" s="131">
        <f t="shared" si="197"/>
        <v>591.14</v>
      </c>
      <c r="L3102" s="134">
        <v>0.1792</v>
      </c>
    </row>
    <row r="3103" spans="3:12">
      <c r="C3103" s="161">
        <f t="shared" si="195"/>
        <v>2019</v>
      </c>
      <c r="D3103" s="35" t="s">
        <v>306</v>
      </c>
      <c r="E3103" s="227">
        <v>43525</v>
      </c>
      <c r="F3103" s="156">
        <v>208289.71</v>
      </c>
      <c r="G3103" s="131">
        <f t="shared" si="196"/>
        <v>37325.516032</v>
      </c>
      <c r="H3103" s="156">
        <v>877.6</v>
      </c>
      <c r="I3103" s="156">
        <v>643</v>
      </c>
      <c r="J3103" s="156">
        <v>684.24</v>
      </c>
      <c r="K3103" s="131">
        <f t="shared" si="197"/>
        <v>2204.84</v>
      </c>
      <c r="L3103" s="134">
        <v>0.1792</v>
      </c>
    </row>
    <row r="3104" spans="3:12">
      <c r="C3104" s="161">
        <f t="shared" si="195"/>
        <v>2019</v>
      </c>
      <c r="D3104" s="35" t="s">
        <v>306</v>
      </c>
      <c r="E3104" s="227">
        <v>43556</v>
      </c>
      <c r="F3104" s="156">
        <v>225345.56</v>
      </c>
      <c r="G3104" s="131">
        <f t="shared" si="196"/>
        <v>40381.924352000002</v>
      </c>
      <c r="H3104" s="156">
        <v>1260.3499999999999</v>
      </c>
      <c r="I3104" s="156">
        <v>0</v>
      </c>
      <c r="J3104" s="156">
        <v>0</v>
      </c>
      <c r="K3104" s="131">
        <f t="shared" si="197"/>
        <v>1260.3499999999999</v>
      </c>
      <c r="L3104" s="134">
        <v>0.1792</v>
      </c>
    </row>
    <row r="3105" spans="3:12">
      <c r="C3105" s="161">
        <f t="shared" si="195"/>
        <v>2019</v>
      </c>
      <c r="D3105" s="35" t="s">
        <v>306</v>
      </c>
      <c r="E3105" s="227">
        <v>43586</v>
      </c>
      <c r="F3105" s="156">
        <v>213223.16</v>
      </c>
      <c r="G3105" s="131">
        <f t="shared" si="196"/>
        <v>38209.590272000001</v>
      </c>
      <c r="H3105" s="156">
        <v>2983.1</v>
      </c>
      <c r="I3105" s="156">
        <v>0</v>
      </c>
      <c r="J3105" s="156">
        <v>0</v>
      </c>
      <c r="K3105" s="131">
        <f t="shared" si="197"/>
        <v>2983.1</v>
      </c>
      <c r="L3105" s="134">
        <v>0.1792</v>
      </c>
    </row>
    <row r="3106" spans="3:12">
      <c r="C3106" s="161">
        <f t="shared" si="195"/>
        <v>2019</v>
      </c>
      <c r="D3106" s="35" t="s">
        <v>306</v>
      </c>
      <c r="E3106" s="227">
        <v>43617</v>
      </c>
      <c r="F3106" s="156">
        <v>207212.44</v>
      </c>
      <c r="G3106" s="131">
        <f t="shared" si="196"/>
        <v>37132.469248000001</v>
      </c>
      <c r="H3106" s="156">
        <v>1088.42</v>
      </c>
      <c r="I3106" s="156">
        <v>0</v>
      </c>
      <c r="J3106" s="156">
        <v>0</v>
      </c>
      <c r="K3106" s="131">
        <f t="shared" si="197"/>
        <v>1088.42</v>
      </c>
      <c r="L3106" s="134">
        <v>0.1792</v>
      </c>
    </row>
    <row r="3107" spans="3:12">
      <c r="C3107" s="161">
        <f t="shared" si="195"/>
        <v>2019</v>
      </c>
      <c r="D3107" s="35" t="s">
        <v>306</v>
      </c>
      <c r="E3107" s="227">
        <v>43647</v>
      </c>
      <c r="F3107" s="156">
        <v>212453.34</v>
      </c>
      <c r="G3107" s="131">
        <f t="shared" si="196"/>
        <v>38071.638527999996</v>
      </c>
      <c r="H3107" s="156">
        <v>740.96</v>
      </c>
      <c r="I3107" s="156">
        <v>393.87</v>
      </c>
      <c r="J3107" s="156">
        <v>1816.3</v>
      </c>
      <c r="K3107" s="131">
        <f t="shared" si="197"/>
        <v>2951.13</v>
      </c>
      <c r="L3107" s="134">
        <v>0.1792</v>
      </c>
    </row>
    <row r="3108" spans="3:12">
      <c r="C3108" s="161">
        <f t="shared" si="195"/>
        <v>2019</v>
      </c>
      <c r="D3108" s="35" t="s">
        <v>306</v>
      </c>
      <c r="E3108" s="227">
        <v>43678</v>
      </c>
      <c r="F3108" s="156">
        <v>221106.67</v>
      </c>
      <c r="G3108" s="131">
        <f t="shared" si="196"/>
        <v>39622.315264000004</v>
      </c>
      <c r="H3108" s="156">
        <v>1764.93</v>
      </c>
      <c r="I3108" s="156">
        <v>91.31</v>
      </c>
      <c r="J3108" s="156">
        <v>0</v>
      </c>
      <c r="K3108" s="131">
        <f t="shared" si="197"/>
        <v>1856.24</v>
      </c>
      <c r="L3108" s="134">
        <v>0.1792</v>
      </c>
    </row>
    <row r="3109" spans="3:12">
      <c r="C3109" s="161">
        <f t="shared" si="195"/>
        <v>2019</v>
      </c>
      <c r="D3109" s="35" t="s">
        <v>306</v>
      </c>
      <c r="E3109" s="227">
        <v>43709</v>
      </c>
      <c r="F3109" s="156">
        <v>250558.66</v>
      </c>
      <c r="G3109" s="131">
        <f t="shared" si="196"/>
        <v>44900.111872000001</v>
      </c>
      <c r="H3109" s="156">
        <v>2637.35</v>
      </c>
      <c r="I3109" s="156">
        <v>363.19</v>
      </c>
      <c r="J3109" s="156">
        <v>0</v>
      </c>
      <c r="K3109" s="131">
        <f t="shared" si="197"/>
        <v>3000.54</v>
      </c>
      <c r="L3109" s="134">
        <v>0.1792</v>
      </c>
    </row>
    <row r="3110" spans="3:12">
      <c r="C3110" s="161">
        <f t="shared" si="195"/>
        <v>2019</v>
      </c>
      <c r="D3110" s="35" t="s">
        <v>306</v>
      </c>
      <c r="E3110" s="227">
        <v>43739</v>
      </c>
      <c r="F3110" s="156">
        <v>240629.95</v>
      </c>
      <c r="G3110" s="131">
        <f t="shared" si="196"/>
        <v>43120.887040000001</v>
      </c>
      <c r="H3110" s="156">
        <v>1055.3900000000001</v>
      </c>
      <c r="I3110" s="156">
        <v>403.97</v>
      </c>
      <c r="J3110" s="156">
        <v>445.35</v>
      </c>
      <c r="K3110" s="131">
        <f t="shared" si="197"/>
        <v>1904.71</v>
      </c>
      <c r="L3110" s="134">
        <v>0.1792</v>
      </c>
    </row>
    <row r="3111" spans="3:12">
      <c r="C3111" s="161">
        <f t="shared" si="195"/>
        <v>2019</v>
      </c>
      <c r="D3111" s="35" t="s">
        <v>306</v>
      </c>
      <c r="E3111" s="227">
        <v>43770</v>
      </c>
      <c r="F3111" s="156">
        <v>251608.12</v>
      </c>
      <c r="G3111" s="131">
        <f t="shared" si="196"/>
        <v>45088.175104000002</v>
      </c>
      <c r="H3111" s="156">
        <v>1359.72</v>
      </c>
      <c r="I3111" s="156">
        <v>0</v>
      </c>
      <c r="J3111" s="156">
        <v>0</v>
      </c>
      <c r="K3111" s="131">
        <f t="shared" si="197"/>
        <v>1359.72</v>
      </c>
      <c r="L3111" s="134">
        <v>0.1792</v>
      </c>
    </row>
    <row r="3112" spans="3:12">
      <c r="C3112" s="161">
        <f t="shared" si="195"/>
        <v>2019</v>
      </c>
      <c r="D3112" s="35" t="s">
        <v>306</v>
      </c>
      <c r="E3112" s="227">
        <v>43800</v>
      </c>
      <c r="F3112" s="156">
        <v>235405.89</v>
      </c>
      <c r="G3112" s="131">
        <f t="shared" si="196"/>
        <v>42184.735487999998</v>
      </c>
      <c r="H3112" s="156">
        <v>776.94</v>
      </c>
      <c r="I3112" s="156">
        <v>0</v>
      </c>
      <c r="J3112" s="156">
        <v>0</v>
      </c>
      <c r="K3112" s="131">
        <f t="shared" si="197"/>
        <v>776.94</v>
      </c>
      <c r="L3112" s="134">
        <v>0.1792</v>
      </c>
    </row>
    <row r="3113" spans="3:12">
      <c r="C3113" s="161">
        <f t="shared" si="195"/>
        <v>2020</v>
      </c>
      <c r="D3113" s="35" t="s">
        <v>306</v>
      </c>
      <c r="E3113" s="227">
        <v>43831</v>
      </c>
      <c r="F3113" s="156">
        <v>243965.81</v>
      </c>
      <c r="G3113" s="131">
        <f t="shared" si="196"/>
        <v>43718.673151999996</v>
      </c>
      <c r="H3113" s="156">
        <v>1756.81</v>
      </c>
      <c r="I3113" s="156">
        <v>0</v>
      </c>
      <c r="J3113" s="156">
        <v>0</v>
      </c>
      <c r="K3113" s="131">
        <f t="shared" si="197"/>
        <v>1756.81</v>
      </c>
      <c r="L3113" s="134">
        <v>0.1792</v>
      </c>
    </row>
    <row r="3114" spans="3:12">
      <c r="C3114" s="161">
        <f t="shared" si="195"/>
        <v>2020</v>
      </c>
      <c r="D3114" s="35" t="s">
        <v>306</v>
      </c>
      <c r="E3114" s="227">
        <v>43862</v>
      </c>
      <c r="F3114" s="156">
        <v>236369.32</v>
      </c>
      <c r="G3114" s="131">
        <f t="shared" si="196"/>
        <v>42357.382144000003</v>
      </c>
      <c r="H3114" s="156">
        <v>663.97</v>
      </c>
      <c r="I3114" s="156">
        <v>1365.05</v>
      </c>
      <c r="J3114" s="156">
        <v>0</v>
      </c>
      <c r="K3114" s="131">
        <f t="shared" si="197"/>
        <v>2029.02</v>
      </c>
      <c r="L3114" s="134">
        <v>0.1792</v>
      </c>
    </row>
    <row r="3115" spans="3:12">
      <c r="C3115" s="161">
        <f t="shared" si="195"/>
        <v>2020</v>
      </c>
      <c r="D3115" s="35" t="s">
        <v>306</v>
      </c>
      <c r="E3115" s="227">
        <v>43891</v>
      </c>
      <c r="F3115" s="156">
        <v>233180.64577500001</v>
      </c>
      <c r="G3115" s="131">
        <f t="shared" si="196"/>
        <v>41785.97172288</v>
      </c>
      <c r="H3115" s="156">
        <v>1645.4</v>
      </c>
      <c r="I3115" s="156">
        <v>1216.83</v>
      </c>
      <c r="J3115" s="156">
        <v>0</v>
      </c>
      <c r="K3115" s="131">
        <f t="shared" si="197"/>
        <v>2862.23</v>
      </c>
      <c r="L3115" s="134">
        <v>0.1792</v>
      </c>
    </row>
    <row r="3116" spans="3:12">
      <c r="C3116" s="161">
        <f t="shared" si="195"/>
        <v>2020</v>
      </c>
      <c r="D3116" s="35" t="s">
        <v>306</v>
      </c>
      <c r="E3116" s="227">
        <v>43922</v>
      </c>
      <c r="F3116" s="156">
        <v>267170.07817499997</v>
      </c>
      <c r="G3116" s="131">
        <f t="shared" si="196"/>
        <v>47876.878008959997</v>
      </c>
      <c r="H3116" s="156">
        <v>830.59</v>
      </c>
      <c r="I3116" s="156">
        <v>0</v>
      </c>
      <c r="J3116" s="156">
        <v>0</v>
      </c>
      <c r="K3116" s="131">
        <f t="shared" si="197"/>
        <v>830.59</v>
      </c>
      <c r="L3116" s="134">
        <v>0.1792</v>
      </c>
    </row>
    <row r="3117" spans="3:12">
      <c r="C3117" s="161">
        <f t="shared" si="195"/>
        <v>2020</v>
      </c>
      <c r="D3117" s="35" t="s">
        <v>306</v>
      </c>
      <c r="E3117" s="227">
        <v>43952</v>
      </c>
      <c r="F3117" s="156">
        <v>221977.63</v>
      </c>
      <c r="G3117" s="131">
        <f t="shared" si="196"/>
        <v>39778.391296000002</v>
      </c>
      <c r="H3117" s="156">
        <v>687.17</v>
      </c>
      <c r="I3117" s="156">
        <v>0</v>
      </c>
      <c r="J3117" s="156">
        <v>0</v>
      </c>
      <c r="K3117" s="131">
        <f t="shared" si="197"/>
        <v>687.17</v>
      </c>
      <c r="L3117" s="134">
        <v>0.1792</v>
      </c>
    </row>
    <row r="3118" spans="3:12">
      <c r="C3118" s="161">
        <f t="shared" si="195"/>
        <v>2020</v>
      </c>
      <c r="D3118" s="35" t="s">
        <v>306</v>
      </c>
      <c r="E3118" s="227">
        <v>43983</v>
      </c>
      <c r="F3118" s="156">
        <v>219988.13</v>
      </c>
      <c r="G3118" s="131">
        <f t="shared" si="196"/>
        <v>39421.872896000001</v>
      </c>
      <c r="H3118" s="156">
        <v>1612.93</v>
      </c>
      <c r="I3118" s="156">
        <v>208.08</v>
      </c>
      <c r="J3118" s="156">
        <v>0</v>
      </c>
      <c r="K3118" s="131">
        <f t="shared" si="197"/>
        <v>1821.01</v>
      </c>
      <c r="L3118" s="134">
        <v>0.1792</v>
      </c>
    </row>
    <row r="3119" spans="3:12">
      <c r="C3119" s="161">
        <f t="shared" si="195"/>
        <v>2020</v>
      </c>
      <c r="D3119" s="35" t="s">
        <v>306</v>
      </c>
      <c r="E3119" s="227">
        <v>44013</v>
      </c>
      <c r="F3119" s="156">
        <v>219091.75</v>
      </c>
      <c r="G3119" s="131">
        <f t="shared" si="196"/>
        <v>39261.241600000001</v>
      </c>
      <c r="H3119" s="156">
        <v>3623.89</v>
      </c>
      <c r="I3119" s="156">
        <v>831.28</v>
      </c>
      <c r="J3119" s="156">
        <v>663.7</v>
      </c>
      <c r="K3119" s="131">
        <f t="shared" si="197"/>
        <v>5118.87</v>
      </c>
      <c r="L3119" s="134">
        <v>0.1792</v>
      </c>
    </row>
    <row r="3120" spans="3:12">
      <c r="C3120" s="161">
        <f t="shared" si="195"/>
        <v>2020</v>
      </c>
      <c r="D3120" s="35" t="s">
        <v>306</v>
      </c>
      <c r="E3120" s="227">
        <v>44044</v>
      </c>
      <c r="F3120" s="156">
        <v>234055.78</v>
      </c>
      <c r="G3120" s="131">
        <f t="shared" si="196"/>
        <v>41942.795775999999</v>
      </c>
      <c r="H3120" s="156">
        <v>5606.86</v>
      </c>
      <c r="I3120" s="156">
        <v>1622.7</v>
      </c>
      <c r="J3120" s="156">
        <v>0</v>
      </c>
      <c r="K3120" s="131">
        <f t="shared" si="197"/>
        <v>7229.5599999999995</v>
      </c>
      <c r="L3120" s="134">
        <v>0.1792</v>
      </c>
    </row>
    <row r="3121" spans="3:12">
      <c r="C3121" s="161">
        <f t="shared" si="195"/>
        <v>2020</v>
      </c>
      <c r="D3121" s="35" t="s">
        <v>306</v>
      </c>
      <c r="E3121" s="227">
        <v>44075</v>
      </c>
      <c r="F3121" s="156">
        <v>252659.36</v>
      </c>
      <c r="G3121" s="131">
        <f t="shared" si="196"/>
        <v>45276.557311999997</v>
      </c>
      <c r="H3121" s="156">
        <v>2801.99</v>
      </c>
      <c r="I3121" s="156">
        <v>233.39</v>
      </c>
      <c r="J3121" s="156">
        <v>0</v>
      </c>
      <c r="K3121" s="131">
        <f t="shared" si="197"/>
        <v>3035.3799999999997</v>
      </c>
      <c r="L3121" s="134">
        <v>0.1792</v>
      </c>
    </row>
    <row r="3122" spans="3:12">
      <c r="C3122" s="161">
        <f t="shared" si="195"/>
        <v>2020</v>
      </c>
      <c r="D3122" s="35" t="s">
        <v>306</v>
      </c>
      <c r="E3122" s="227">
        <v>44105</v>
      </c>
      <c r="F3122" s="156">
        <v>270712.09000000003</v>
      </c>
      <c r="G3122" s="131">
        <f t="shared" si="196"/>
        <v>48511.606528000004</v>
      </c>
      <c r="H3122" s="156">
        <v>1253.46</v>
      </c>
      <c r="I3122" s="156">
        <v>0</v>
      </c>
      <c r="J3122" s="156">
        <v>15440</v>
      </c>
      <c r="K3122" s="131">
        <f t="shared" si="197"/>
        <v>16693.46</v>
      </c>
      <c r="L3122" s="134">
        <v>0.1792</v>
      </c>
    </row>
    <row r="3123" spans="3:12">
      <c r="C3123" s="161">
        <f t="shared" si="195"/>
        <v>2020</v>
      </c>
      <c r="D3123" s="35" t="s">
        <v>306</v>
      </c>
      <c r="E3123" s="227">
        <v>44136</v>
      </c>
      <c r="F3123" s="156">
        <v>255137.13</v>
      </c>
      <c r="G3123" s="131">
        <f t="shared" si="196"/>
        <v>45720.573695999999</v>
      </c>
      <c r="H3123" s="156">
        <v>443.74</v>
      </c>
      <c r="I3123" s="156">
        <v>0</v>
      </c>
      <c r="J3123" s="156">
        <v>0</v>
      </c>
      <c r="K3123" s="131">
        <f t="shared" si="197"/>
        <v>443.74</v>
      </c>
      <c r="L3123" s="134">
        <v>0.1792</v>
      </c>
    </row>
    <row r="3124" spans="3:12">
      <c r="C3124" s="161">
        <f t="shared" si="195"/>
        <v>2020</v>
      </c>
      <c r="D3124" s="35" t="s">
        <v>306</v>
      </c>
      <c r="E3124" s="227">
        <v>44166</v>
      </c>
      <c r="F3124" s="156">
        <v>264625.59000000003</v>
      </c>
      <c r="G3124" s="131">
        <f t="shared" si="196"/>
        <v>47420.905728000005</v>
      </c>
      <c r="H3124" s="156">
        <v>512.79</v>
      </c>
      <c r="I3124" s="156">
        <v>64.48</v>
      </c>
      <c r="J3124" s="156">
        <v>0</v>
      </c>
      <c r="K3124" s="131">
        <f t="shared" si="197"/>
        <v>577.27</v>
      </c>
      <c r="L3124" s="134">
        <v>0.1792</v>
      </c>
    </row>
    <row r="3125" spans="3:12">
      <c r="C3125" s="161">
        <f t="shared" si="195"/>
        <v>2021</v>
      </c>
      <c r="D3125" s="35" t="s">
        <v>306</v>
      </c>
      <c r="E3125" s="227">
        <v>44197</v>
      </c>
      <c r="F3125" s="156">
        <v>268839.27</v>
      </c>
      <c r="G3125" s="131">
        <f t="shared" si="196"/>
        <v>48175.997184</v>
      </c>
      <c r="H3125" s="156">
        <v>3602.21</v>
      </c>
      <c r="I3125" s="156">
        <v>87.99</v>
      </c>
      <c r="J3125" s="156">
        <v>0</v>
      </c>
      <c r="K3125" s="131">
        <f t="shared" si="197"/>
        <v>3690.2</v>
      </c>
      <c r="L3125" s="134">
        <v>0.1792</v>
      </c>
    </row>
    <row r="3126" spans="3:12">
      <c r="C3126" s="161">
        <f t="shared" si="195"/>
        <v>2021</v>
      </c>
      <c r="D3126" s="35" t="s">
        <v>306</v>
      </c>
      <c r="E3126" s="227">
        <v>44229</v>
      </c>
      <c r="F3126" s="156">
        <v>244908.21</v>
      </c>
      <c r="G3126" s="131">
        <f t="shared" si="196"/>
        <v>43887.551231999998</v>
      </c>
      <c r="H3126" s="156">
        <v>13599.7</v>
      </c>
      <c r="I3126" s="156">
        <v>0</v>
      </c>
      <c r="J3126" s="156">
        <v>0</v>
      </c>
      <c r="K3126" s="131">
        <f t="shared" si="197"/>
        <v>13599.7</v>
      </c>
      <c r="L3126" s="134">
        <v>0.1792</v>
      </c>
    </row>
    <row r="3127" spans="3:12">
      <c r="C3127" s="161">
        <f t="shared" si="195"/>
        <v>2021</v>
      </c>
      <c r="D3127" s="35" t="s">
        <v>306</v>
      </c>
      <c r="E3127" s="227">
        <v>44258</v>
      </c>
      <c r="F3127" s="156">
        <v>232538.47</v>
      </c>
      <c r="G3127" s="131">
        <f t="shared" si="196"/>
        <v>41670.893823999999</v>
      </c>
      <c r="H3127" s="156">
        <v>14867.57</v>
      </c>
      <c r="I3127" s="156">
        <v>96.09</v>
      </c>
      <c r="J3127" s="156">
        <v>0</v>
      </c>
      <c r="K3127" s="131">
        <f t="shared" si="197"/>
        <v>14963.66</v>
      </c>
      <c r="L3127" s="134">
        <v>0.1792</v>
      </c>
    </row>
    <row r="3128" spans="3:12">
      <c r="C3128" s="161">
        <f t="shared" si="195"/>
        <v>2021</v>
      </c>
      <c r="D3128" s="35" t="s">
        <v>306</v>
      </c>
      <c r="E3128" s="227">
        <v>44290</v>
      </c>
      <c r="F3128" s="156">
        <v>268319.94</v>
      </c>
      <c r="G3128" s="131">
        <f t="shared" si="196"/>
        <v>48082.933248000001</v>
      </c>
      <c r="H3128" s="156">
        <v>1303</v>
      </c>
      <c r="I3128" s="156">
        <v>63.25</v>
      </c>
      <c r="J3128" s="156">
        <v>0</v>
      </c>
      <c r="K3128" s="131">
        <f t="shared" si="197"/>
        <v>1366.25</v>
      </c>
      <c r="L3128" s="134">
        <v>0.1792</v>
      </c>
    </row>
    <row r="3129" spans="3:12">
      <c r="C3129" s="161">
        <f t="shared" si="195"/>
        <v>2021</v>
      </c>
      <c r="D3129" s="35" t="s">
        <v>306</v>
      </c>
      <c r="E3129" s="227">
        <v>44321</v>
      </c>
      <c r="F3129" s="156">
        <v>244423.49</v>
      </c>
      <c r="G3129" s="131">
        <f t="shared" si="196"/>
        <v>43800.689407999998</v>
      </c>
      <c r="H3129" s="156">
        <v>21496.61</v>
      </c>
      <c r="I3129" s="156">
        <v>0</v>
      </c>
      <c r="J3129" s="156">
        <v>0</v>
      </c>
      <c r="K3129" s="131">
        <f t="shared" si="197"/>
        <v>21496.61</v>
      </c>
      <c r="L3129" s="134">
        <v>0.1792</v>
      </c>
    </row>
    <row r="3130" spans="3:12">
      <c r="C3130" s="161">
        <f t="shared" si="195"/>
        <v>2021</v>
      </c>
      <c r="D3130" s="35" t="s">
        <v>306</v>
      </c>
      <c r="E3130" s="227">
        <v>44353</v>
      </c>
      <c r="F3130" s="156">
        <v>246884.32</v>
      </c>
      <c r="G3130" s="131">
        <f t="shared" si="196"/>
        <v>44241.670144000003</v>
      </c>
      <c r="H3130" s="156">
        <v>1525.69</v>
      </c>
      <c r="I3130" s="156">
        <v>0</v>
      </c>
      <c r="J3130" s="156">
        <v>0</v>
      </c>
      <c r="K3130" s="131">
        <f t="shared" si="197"/>
        <v>1525.69</v>
      </c>
      <c r="L3130" s="134">
        <v>0.1792</v>
      </c>
    </row>
    <row r="3131" spans="3:12">
      <c r="C3131" s="161">
        <f t="shared" si="195"/>
        <v>2015</v>
      </c>
      <c r="D3131" s="35" t="s">
        <v>307</v>
      </c>
      <c r="E3131" s="227">
        <v>42309</v>
      </c>
      <c r="F3131" s="156">
        <v>360167.96</v>
      </c>
      <c r="G3131" s="131">
        <f t="shared" si="196"/>
        <v>64542.098432000006</v>
      </c>
      <c r="H3131" s="156">
        <v>45296.37</v>
      </c>
      <c r="I3131" s="156">
        <v>368780.96</v>
      </c>
      <c r="J3131" s="156">
        <v>0</v>
      </c>
      <c r="K3131" s="131">
        <f t="shared" si="197"/>
        <v>414077.33</v>
      </c>
      <c r="L3131" s="134">
        <v>0.1792</v>
      </c>
    </row>
    <row r="3132" spans="3:12">
      <c r="C3132" s="161">
        <f t="shared" si="195"/>
        <v>2015</v>
      </c>
      <c r="D3132" s="35" t="s">
        <v>307</v>
      </c>
      <c r="E3132" s="227">
        <v>42339</v>
      </c>
      <c r="F3132" s="156">
        <v>350622.08</v>
      </c>
      <c r="G3132" s="131">
        <f t="shared" si="196"/>
        <v>62831.476736000004</v>
      </c>
      <c r="H3132" s="156">
        <v>72072.45</v>
      </c>
      <c r="I3132" s="156">
        <v>0</v>
      </c>
      <c r="J3132" s="156">
        <v>0</v>
      </c>
      <c r="K3132" s="131">
        <f t="shared" si="197"/>
        <v>72072.45</v>
      </c>
      <c r="L3132" s="134">
        <v>0.1792</v>
      </c>
    </row>
    <row r="3133" spans="3:12">
      <c r="C3133" s="161">
        <f t="shared" si="195"/>
        <v>2016</v>
      </c>
      <c r="D3133" s="35" t="s">
        <v>307</v>
      </c>
      <c r="E3133" s="227">
        <v>42370</v>
      </c>
      <c r="F3133" s="156">
        <v>347482.93</v>
      </c>
      <c r="G3133" s="131">
        <f t="shared" si="196"/>
        <v>62268.941055999996</v>
      </c>
      <c r="H3133" s="156">
        <v>63256.29</v>
      </c>
      <c r="I3133" s="156">
        <v>160811.07</v>
      </c>
      <c r="J3133" s="156">
        <v>0</v>
      </c>
      <c r="K3133" s="131">
        <f t="shared" si="197"/>
        <v>224067.36000000002</v>
      </c>
      <c r="L3133" s="134">
        <v>0.1792</v>
      </c>
    </row>
    <row r="3134" spans="3:12">
      <c r="C3134" s="161">
        <f t="shared" si="195"/>
        <v>2016</v>
      </c>
      <c r="D3134" s="35" t="s">
        <v>307</v>
      </c>
      <c r="E3134" s="227">
        <v>42401</v>
      </c>
      <c r="F3134" s="156">
        <v>354598.21</v>
      </c>
      <c r="G3134" s="131">
        <f t="shared" si="196"/>
        <v>63543.999232000002</v>
      </c>
      <c r="H3134" s="156">
        <v>640.30999999999995</v>
      </c>
      <c r="I3134" s="156">
        <v>0</v>
      </c>
      <c r="J3134" s="156">
        <v>0</v>
      </c>
      <c r="K3134" s="131">
        <f t="shared" si="197"/>
        <v>640.30999999999995</v>
      </c>
      <c r="L3134" s="134">
        <v>0.1792</v>
      </c>
    </row>
    <row r="3135" spans="3:12">
      <c r="C3135" s="161">
        <f t="shared" si="195"/>
        <v>2016</v>
      </c>
      <c r="D3135" s="35" t="s">
        <v>307</v>
      </c>
      <c r="E3135" s="227">
        <v>42430</v>
      </c>
      <c r="F3135" s="156">
        <v>330520.43</v>
      </c>
      <c r="G3135" s="131">
        <f t="shared" si="196"/>
        <v>59229.261055999996</v>
      </c>
      <c r="H3135" s="156">
        <v>29459.25</v>
      </c>
      <c r="I3135" s="156">
        <v>0</v>
      </c>
      <c r="J3135" s="156">
        <v>0</v>
      </c>
      <c r="K3135" s="131">
        <f t="shared" si="197"/>
        <v>29459.25</v>
      </c>
      <c r="L3135" s="134">
        <v>0.1792</v>
      </c>
    </row>
    <row r="3136" spans="3:12">
      <c r="C3136" s="161">
        <f t="shared" si="195"/>
        <v>2016</v>
      </c>
      <c r="D3136" s="35" t="s">
        <v>307</v>
      </c>
      <c r="E3136" s="227">
        <v>42461</v>
      </c>
      <c r="F3136" s="156">
        <v>372833.09</v>
      </c>
      <c r="G3136" s="131">
        <f t="shared" si="196"/>
        <v>66811.689727999998</v>
      </c>
      <c r="H3136" s="156">
        <v>39892.53</v>
      </c>
      <c r="I3136" s="156">
        <v>0</v>
      </c>
      <c r="J3136" s="156">
        <v>0</v>
      </c>
      <c r="K3136" s="131">
        <f t="shared" si="197"/>
        <v>39892.53</v>
      </c>
      <c r="L3136" s="134">
        <v>0.1792</v>
      </c>
    </row>
    <row r="3137" spans="3:12">
      <c r="C3137" s="161">
        <f t="shared" si="195"/>
        <v>2016</v>
      </c>
      <c r="D3137" s="35" t="s">
        <v>307</v>
      </c>
      <c r="E3137" s="227">
        <v>42491</v>
      </c>
      <c r="F3137" s="156">
        <v>322332.88</v>
      </c>
      <c r="G3137" s="131">
        <f t="shared" si="196"/>
        <v>57762.052095999999</v>
      </c>
      <c r="H3137" s="156">
        <v>4694.96</v>
      </c>
      <c r="I3137" s="156">
        <v>0</v>
      </c>
      <c r="J3137" s="156">
        <v>0</v>
      </c>
      <c r="K3137" s="131">
        <f t="shared" si="197"/>
        <v>4694.96</v>
      </c>
      <c r="L3137" s="134">
        <v>0.1792</v>
      </c>
    </row>
    <row r="3138" spans="3:12">
      <c r="C3138" s="161">
        <f t="shared" si="195"/>
        <v>2016</v>
      </c>
      <c r="D3138" s="35" t="s">
        <v>307</v>
      </c>
      <c r="E3138" s="227">
        <v>42522</v>
      </c>
      <c r="F3138" s="156">
        <v>320123.78999999998</v>
      </c>
      <c r="G3138" s="131">
        <f t="shared" si="196"/>
        <v>57366.183167999996</v>
      </c>
      <c r="H3138" s="156">
        <v>45970.28</v>
      </c>
      <c r="I3138" s="156">
        <v>0</v>
      </c>
      <c r="J3138" s="156">
        <v>8011.06</v>
      </c>
      <c r="K3138" s="131">
        <f t="shared" si="197"/>
        <v>53981.34</v>
      </c>
      <c r="L3138" s="134">
        <v>0.1792</v>
      </c>
    </row>
    <row r="3139" spans="3:12">
      <c r="C3139" s="161">
        <f t="shared" si="195"/>
        <v>2016</v>
      </c>
      <c r="D3139" s="35" t="s">
        <v>307</v>
      </c>
      <c r="E3139" s="227">
        <v>42552</v>
      </c>
      <c r="F3139" s="156">
        <v>356354.29</v>
      </c>
      <c r="G3139" s="131">
        <f t="shared" si="196"/>
        <v>63858.688767999993</v>
      </c>
      <c r="H3139" s="156">
        <v>1784</v>
      </c>
      <c r="I3139" s="156">
        <v>0</v>
      </c>
      <c r="J3139" s="156">
        <v>0</v>
      </c>
      <c r="K3139" s="131">
        <f t="shared" si="197"/>
        <v>1784</v>
      </c>
      <c r="L3139" s="134">
        <v>0.1792</v>
      </c>
    </row>
    <row r="3140" spans="3:12">
      <c r="C3140" s="161">
        <f t="shared" ref="C3140:C3203" si="198">YEAR(E3140)</f>
        <v>2016</v>
      </c>
      <c r="D3140" s="35" t="s">
        <v>307</v>
      </c>
      <c r="E3140" s="227">
        <v>42583</v>
      </c>
      <c r="F3140" s="156">
        <v>353257.62</v>
      </c>
      <c r="G3140" s="131">
        <f t="shared" ref="G3140:G3203" si="199">F3140*L3140</f>
        <v>63303.765503999995</v>
      </c>
      <c r="H3140" s="156">
        <v>8725.01</v>
      </c>
      <c r="I3140" s="156">
        <v>308132.87</v>
      </c>
      <c r="J3140" s="156">
        <v>0</v>
      </c>
      <c r="K3140" s="131">
        <f t="shared" ref="K3140:K3203" si="200">SUM(H3140:J3140)</f>
        <v>316857.88</v>
      </c>
      <c r="L3140" s="134">
        <v>0.1792</v>
      </c>
    </row>
    <row r="3141" spans="3:12">
      <c r="C3141" s="161">
        <f t="shared" si="198"/>
        <v>2016</v>
      </c>
      <c r="D3141" s="35" t="s">
        <v>307</v>
      </c>
      <c r="E3141" s="227">
        <v>42614</v>
      </c>
      <c r="F3141" s="156">
        <v>355828.37</v>
      </c>
      <c r="G3141" s="131">
        <f t="shared" si="199"/>
        <v>63764.443904</v>
      </c>
      <c r="H3141" s="156">
        <v>2059.44</v>
      </c>
      <c r="I3141" s="156">
        <v>0</v>
      </c>
      <c r="J3141" s="156">
        <v>0</v>
      </c>
      <c r="K3141" s="131">
        <f t="shared" si="200"/>
        <v>2059.44</v>
      </c>
      <c r="L3141" s="134">
        <v>0.1792</v>
      </c>
    </row>
    <row r="3142" spans="3:12">
      <c r="C3142" s="161">
        <f t="shared" si="198"/>
        <v>2016</v>
      </c>
      <c r="D3142" s="35" t="s">
        <v>307</v>
      </c>
      <c r="E3142" s="227">
        <v>42644</v>
      </c>
      <c r="F3142" s="156">
        <v>364088.16</v>
      </c>
      <c r="G3142" s="131">
        <f t="shared" si="199"/>
        <v>65244.598271999996</v>
      </c>
      <c r="H3142" s="156">
        <v>911.07</v>
      </c>
      <c r="I3142" s="156">
        <v>23765.55</v>
      </c>
      <c r="J3142" s="156">
        <v>0</v>
      </c>
      <c r="K3142" s="131">
        <f t="shared" si="200"/>
        <v>24676.62</v>
      </c>
      <c r="L3142" s="134">
        <v>0.1792</v>
      </c>
    </row>
    <row r="3143" spans="3:12">
      <c r="C3143" s="161">
        <f t="shared" si="198"/>
        <v>2016</v>
      </c>
      <c r="D3143" s="35" t="s">
        <v>307</v>
      </c>
      <c r="E3143" s="227">
        <v>42675</v>
      </c>
      <c r="F3143" s="156">
        <v>376846.81</v>
      </c>
      <c r="G3143" s="131">
        <f t="shared" si="199"/>
        <v>67530.948351999992</v>
      </c>
      <c r="H3143" s="156">
        <v>1977.25</v>
      </c>
      <c r="I3143" s="156">
        <v>23669.91</v>
      </c>
      <c r="J3143" s="156">
        <v>0</v>
      </c>
      <c r="K3143" s="131">
        <f t="shared" si="200"/>
        <v>25647.16</v>
      </c>
      <c r="L3143" s="134">
        <v>0.1792</v>
      </c>
    </row>
    <row r="3144" spans="3:12">
      <c r="C3144" s="161">
        <f t="shared" si="198"/>
        <v>2016</v>
      </c>
      <c r="D3144" s="35" t="s">
        <v>307</v>
      </c>
      <c r="E3144" s="227">
        <v>42705</v>
      </c>
      <c r="F3144" s="156">
        <v>357046.59</v>
      </c>
      <c r="G3144" s="131">
        <f t="shared" si="199"/>
        <v>63982.748928000001</v>
      </c>
      <c r="H3144" s="156">
        <v>756.83</v>
      </c>
      <c r="I3144" s="156">
        <v>0</v>
      </c>
      <c r="J3144" s="156">
        <v>0</v>
      </c>
      <c r="K3144" s="131">
        <f t="shared" si="200"/>
        <v>756.83</v>
      </c>
      <c r="L3144" s="134">
        <v>0.1792</v>
      </c>
    </row>
    <row r="3145" spans="3:12">
      <c r="C3145" s="161">
        <f t="shared" si="198"/>
        <v>2017</v>
      </c>
      <c r="D3145" s="35" t="s">
        <v>307</v>
      </c>
      <c r="E3145" s="227">
        <v>42736</v>
      </c>
      <c r="F3145" s="156">
        <v>363425.04</v>
      </c>
      <c r="G3145" s="131">
        <f t="shared" si="199"/>
        <v>65125.767167999998</v>
      </c>
      <c r="H3145" s="156">
        <v>4698.37</v>
      </c>
      <c r="I3145" s="156">
        <v>308132.87</v>
      </c>
      <c r="J3145" s="156">
        <v>6006.13</v>
      </c>
      <c r="K3145" s="131">
        <f t="shared" si="200"/>
        <v>318837.37</v>
      </c>
      <c r="L3145" s="134">
        <v>0.1792</v>
      </c>
    </row>
    <row r="3146" spans="3:12">
      <c r="C3146" s="161">
        <f t="shared" si="198"/>
        <v>2017</v>
      </c>
      <c r="D3146" s="35" t="s">
        <v>307</v>
      </c>
      <c r="E3146" s="227">
        <v>42767</v>
      </c>
      <c r="F3146" s="156">
        <v>364160.1</v>
      </c>
      <c r="G3146" s="131">
        <f t="shared" si="199"/>
        <v>65257.489919999993</v>
      </c>
      <c r="H3146" s="156">
        <v>0</v>
      </c>
      <c r="I3146" s="156">
        <v>19949.98</v>
      </c>
      <c r="J3146" s="156">
        <v>184.2</v>
      </c>
      <c r="K3146" s="131">
        <f t="shared" si="200"/>
        <v>20134.18</v>
      </c>
      <c r="L3146" s="134">
        <v>0.1792</v>
      </c>
    </row>
    <row r="3147" spans="3:12">
      <c r="C3147" s="161">
        <f t="shared" si="198"/>
        <v>2017</v>
      </c>
      <c r="D3147" s="35" t="s">
        <v>307</v>
      </c>
      <c r="E3147" s="227">
        <v>42795</v>
      </c>
      <c r="F3147" s="156">
        <v>341208.45</v>
      </c>
      <c r="G3147" s="131">
        <f t="shared" si="199"/>
        <v>61144.554240000005</v>
      </c>
      <c r="H3147" s="156">
        <v>12409.13</v>
      </c>
      <c r="I3147" s="156">
        <v>0</v>
      </c>
      <c r="J3147" s="156">
        <v>1126.2</v>
      </c>
      <c r="K3147" s="131">
        <f t="shared" si="200"/>
        <v>13535.33</v>
      </c>
      <c r="L3147" s="134">
        <v>0.1792</v>
      </c>
    </row>
    <row r="3148" spans="3:12">
      <c r="C3148" s="161">
        <f t="shared" si="198"/>
        <v>2017</v>
      </c>
      <c r="D3148" s="35" t="s">
        <v>307</v>
      </c>
      <c r="E3148" s="227">
        <v>42826</v>
      </c>
      <c r="F3148" s="156">
        <v>359802.45</v>
      </c>
      <c r="G3148" s="131">
        <f t="shared" si="199"/>
        <v>64476.599040000001</v>
      </c>
      <c r="H3148" s="156">
        <v>2523.98</v>
      </c>
      <c r="I3148" s="156">
        <v>30905.26</v>
      </c>
      <c r="J3148" s="156">
        <v>0</v>
      </c>
      <c r="K3148" s="131">
        <f t="shared" si="200"/>
        <v>33429.24</v>
      </c>
      <c r="L3148" s="134">
        <v>0.1792</v>
      </c>
    </row>
    <row r="3149" spans="3:12">
      <c r="C3149" s="161">
        <f t="shared" si="198"/>
        <v>2017</v>
      </c>
      <c r="D3149" s="35" t="s">
        <v>307</v>
      </c>
      <c r="E3149" s="227">
        <v>42856</v>
      </c>
      <c r="F3149" s="156">
        <v>341197.57</v>
      </c>
      <c r="G3149" s="131">
        <f t="shared" si="199"/>
        <v>61142.604544000002</v>
      </c>
      <c r="H3149" s="156">
        <v>2148.39</v>
      </c>
      <c r="I3149" s="156">
        <v>0</v>
      </c>
      <c r="J3149" s="156">
        <v>0</v>
      </c>
      <c r="K3149" s="131">
        <f t="shared" si="200"/>
        <v>2148.39</v>
      </c>
      <c r="L3149" s="134">
        <v>0.1792</v>
      </c>
    </row>
    <row r="3150" spans="3:12">
      <c r="C3150" s="161">
        <f t="shared" si="198"/>
        <v>2017</v>
      </c>
      <c r="D3150" s="35" t="s">
        <v>307</v>
      </c>
      <c r="E3150" s="227">
        <v>42887</v>
      </c>
      <c r="F3150" s="156">
        <v>348073.69</v>
      </c>
      <c r="G3150" s="131">
        <f t="shared" si="199"/>
        <v>62374.805247999997</v>
      </c>
      <c r="H3150" s="156">
        <v>3574.08</v>
      </c>
      <c r="I3150" s="156">
        <v>0</v>
      </c>
      <c r="J3150" s="156">
        <v>0</v>
      </c>
      <c r="K3150" s="131">
        <f t="shared" si="200"/>
        <v>3574.08</v>
      </c>
      <c r="L3150" s="134">
        <v>0.1792</v>
      </c>
    </row>
    <row r="3151" spans="3:12">
      <c r="C3151" s="161">
        <f t="shared" si="198"/>
        <v>2017</v>
      </c>
      <c r="D3151" s="35" t="s">
        <v>307</v>
      </c>
      <c r="E3151" s="227">
        <v>42917</v>
      </c>
      <c r="F3151" s="156">
        <v>347123.74</v>
      </c>
      <c r="G3151" s="131">
        <f t="shared" si="199"/>
        <v>62204.574207999998</v>
      </c>
      <c r="H3151" s="156">
        <v>3432.81</v>
      </c>
      <c r="I3151" s="156">
        <v>56997.19</v>
      </c>
      <c r="J3151" s="156">
        <v>0</v>
      </c>
      <c r="K3151" s="131">
        <f t="shared" si="200"/>
        <v>60430</v>
      </c>
      <c r="L3151" s="134">
        <v>0.1792</v>
      </c>
    </row>
    <row r="3152" spans="3:12">
      <c r="C3152" s="161">
        <f t="shared" si="198"/>
        <v>2017</v>
      </c>
      <c r="D3152" s="35" t="s">
        <v>307</v>
      </c>
      <c r="E3152" s="227">
        <v>42948</v>
      </c>
      <c r="F3152" s="156">
        <v>385613.54</v>
      </c>
      <c r="G3152" s="131">
        <f t="shared" si="199"/>
        <v>69101.94636799999</v>
      </c>
      <c r="H3152" s="156">
        <v>7695.39</v>
      </c>
      <c r="I3152" s="156">
        <v>0</v>
      </c>
      <c r="J3152" s="156">
        <v>0</v>
      </c>
      <c r="K3152" s="131">
        <f t="shared" si="200"/>
        <v>7695.39</v>
      </c>
      <c r="L3152" s="134">
        <v>0.1792</v>
      </c>
    </row>
    <row r="3153" spans="3:12">
      <c r="C3153" s="161">
        <f t="shared" si="198"/>
        <v>2017</v>
      </c>
      <c r="D3153" s="35" t="s">
        <v>307</v>
      </c>
      <c r="E3153" s="227">
        <v>42979</v>
      </c>
      <c r="F3153" s="156">
        <v>442930.54</v>
      </c>
      <c r="G3153" s="131">
        <f t="shared" si="199"/>
        <v>79373.152768</v>
      </c>
      <c r="H3153" s="156">
        <v>4754.88</v>
      </c>
      <c r="I3153" s="156">
        <v>0</v>
      </c>
      <c r="J3153" s="156">
        <v>0</v>
      </c>
      <c r="K3153" s="131">
        <f t="shared" si="200"/>
        <v>4754.88</v>
      </c>
      <c r="L3153" s="134">
        <v>0.1792</v>
      </c>
    </row>
    <row r="3154" spans="3:12">
      <c r="C3154" s="161">
        <f t="shared" si="198"/>
        <v>2017</v>
      </c>
      <c r="D3154" s="35" t="s">
        <v>307</v>
      </c>
      <c r="E3154" s="227">
        <v>43009</v>
      </c>
      <c r="F3154" s="156">
        <v>399249.49</v>
      </c>
      <c r="G3154" s="131">
        <f t="shared" si="199"/>
        <v>71545.508608000004</v>
      </c>
      <c r="H3154" s="156">
        <v>5247.2</v>
      </c>
      <c r="I3154" s="156">
        <v>9685.15</v>
      </c>
      <c r="J3154" s="156">
        <v>0</v>
      </c>
      <c r="K3154" s="131">
        <f t="shared" si="200"/>
        <v>14932.349999999999</v>
      </c>
      <c r="L3154" s="134">
        <v>0.1792</v>
      </c>
    </row>
    <row r="3155" spans="3:12">
      <c r="C3155" s="161">
        <f t="shared" si="198"/>
        <v>2017</v>
      </c>
      <c r="D3155" s="35" t="s">
        <v>307</v>
      </c>
      <c r="E3155" s="227">
        <v>43040</v>
      </c>
      <c r="F3155" s="156">
        <v>407113.18</v>
      </c>
      <c r="G3155" s="131">
        <f t="shared" si="199"/>
        <v>72954.681855999996</v>
      </c>
      <c r="H3155" s="156">
        <v>3480.44</v>
      </c>
      <c r="I3155" s="156">
        <v>462199.3</v>
      </c>
      <c r="J3155" s="156">
        <v>0</v>
      </c>
      <c r="K3155" s="131">
        <f t="shared" si="200"/>
        <v>465679.74</v>
      </c>
      <c r="L3155" s="134">
        <v>0.1792</v>
      </c>
    </row>
    <row r="3156" spans="3:12">
      <c r="C3156" s="161">
        <f t="shared" si="198"/>
        <v>2017</v>
      </c>
      <c r="D3156" s="35" t="s">
        <v>307</v>
      </c>
      <c r="E3156" s="227">
        <v>43070</v>
      </c>
      <c r="F3156" s="156">
        <v>403663.8</v>
      </c>
      <c r="G3156" s="131">
        <f t="shared" si="199"/>
        <v>72336.552960000001</v>
      </c>
      <c r="H3156" s="156">
        <v>39069.51</v>
      </c>
      <c r="I3156" s="156">
        <v>0</v>
      </c>
      <c r="J3156" s="156">
        <v>0</v>
      </c>
      <c r="K3156" s="131">
        <f t="shared" si="200"/>
        <v>39069.51</v>
      </c>
      <c r="L3156" s="134">
        <v>0.1792</v>
      </c>
    </row>
    <row r="3157" spans="3:12">
      <c r="C3157" s="161">
        <f t="shared" si="198"/>
        <v>2018</v>
      </c>
      <c r="D3157" s="35" t="s">
        <v>307</v>
      </c>
      <c r="E3157" s="227">
        <v>43101</v>
      </c>
      <c r="F3157" s="156">
        <v>379503.48</v>
      </c>
      <c r="G3157" s="131">
        <f t="shared" si="199"/>
        <v>68007.023615999991</v>
      </c>
      <c r="H3157" s="156">
        <v>3803.69</v>
      </c>
      <c r="I3157" s="156">
        <v>0</v>
      </c>
      <c r="J3157" s="156">
        <v>0</v>
      </c>
      <c r="K3157" s="131">
        <f t="shared" si="200"/>
        <v>3803.69</v>
      </c>
      <c r="L3157" s="134">
        <v>0.1792</v>
      </c>
    </row>
    <row r="3158" spans="3:12">
      <c r="C3158" s="161">
        <f t="shared" si="198"/>
        <v>2018</v>
      </c>
      <c r="D3158" s="35" t="s">
        <v>307</v>
      </c>
      <c r="E3158" s="227">
        <v>43132</v>
      </c>
      <c r="F3158" s="156">
        <v>399151.75</v>
      </c>
      <c r="G3158" s="131">
        <f t="shared" si="199"/>
        <v>71527.993600000002</v>
      </c>
      <c r="H3158" s="156">
        <v>475028.54</v>
      </c>
      <c r="I3158" s="156">
        <v>322119.53000000003</v>
      </c>
      <c r="J3158" s="156">
        <v>12600.26</v>
      </c>
      <c r="K3158" s="131">
        <f t="shared" si="200"/>
        <v>809748.33000000007</v>
      </c>
      <c r="L3158" s="134">
        <v>0.1792</v>
      </c>
    </row>
    <row r="3159" spans="3:12">
      <c r="C3159" s="161">
        <f t="shared" si="198"/>
        <v>2018</v>
      </c>
      <c r="D3159" s="35" t="s">
        <v>307</v>
      </c>
      <c r="E3159" s="227">
        <v>43160</v>
      </c>
      <c r="F3159" s="156">
        <v>375841.81</v>
      </c>
      <c r="G3159" s="131">
        <f t="shared" si="199"/>
        <v>67350.852352000002</v>
      </c>
      <c r="H3159" s="156">
        <v>158927.71</v>
      </c>
      <c r="I3159" s="156">
        <v>136641.76999999999</v>
      </c>
      <c r="J3159" s="156">
        <v>0</v>
      </c>
      <c r="K3159" s="131">
        <f t="shared" si="200"/>
        <v>295569.48</v>
      </c>
      <c r="L3159" s="134">
        <v>0.1792</v>
      </c>
    </row>
    <row r="3160" spans="3:12">
      <c r="C3160" s="161">
        <f t="shared" si="198"/>
        <v>2018</v>
      </c>
      <c r="D3160" s="35" t="s">
        <v>307</v>
      </c>
      <c r="E3160" s="227">
        <v>43191</v>
      </c>
      <c r="F3160" s="156">
        <v>401031.11</v>
      </c>
      <c r="G3160" s="131">
        <f t="shared" si="199"/>
        <v>71864.774911999993</v>
      </c>
      <c r="H3160" s="156">
        <v>1529.71</v>
      </c>
      <c r="I3160" s="156">
        <v>0</v>
      </c>
      <c r="J3160" s="156">
        <v>0</v>
      </c>
      <c r="K3160" s="131">
        <f t="shared" si="200"/>
        <v>1529.71</v>
      </c>
      <c r="L3160" s="134">
        <v>0.1792</v>
      </c>
    </row>
    <row r="3161" spans="3:12">
      <c r="C3161" s="161">
        <f t="shared" si="198"/>
        <v>2018</v>
      </c>
      <c r="D3161" s="35" t="s">
        <v>307</v>
      </c>
      <c r="E3161" s="227">
        <v>43221</v>
      </c>
      <c r="F3161" s="156">
        <v>413056.89</v>
      </c>
      <c r="G3161" s="131">
        <f t="shared" si="199"/>
        <v>74019.794687999994</v>
      </c>
      <c r="H3161" s="156">
        <v>86608.5</v>
      </c>
      <c r="I3161" s="156">
        <v>65779.53</v>
      </c>
      <c r="J3161" s="156">
        <v>0</v>
      </c>
      <c r="K3161" s="131">
        <f t="shared" si="200"/>
        <v>152388.03</v>
      </c>
      <c r="L3161" s="134">
        <v>0.1792</v>
      </c>
    </row>
    <row r="3162" spans="3:12">
      <c r="C3162" s="161">
        <f t="shared" si="198"/>
        <v>2018</v>
      </c>
      <c r="D3162" s="35" t="s">
        <v>307</v>
      </c>
      <c r="E3162" s="227">
        <v>43252</v>
      </c>
      <c r="F3162" s="156">
        <v>375934.2</v>
      </c>
      <c r="G3162" s="131">
        <f t="shared" si="199"/>
        <v>67367.408639999994</v>
      </c>
      <c r="H3162" s="156">
        <v>3947.71</v>
      </c>
      <c r="I3162" s="156">
        <v>20376.47</v>
      </c>
      <c r="J3162" s="156">
        <v>0</v>
      </c>
      <c r="K3162" s="131">
        <f t="shared" si="200"/>
        <v>24324.18</v>
      </c>
      <c r="L3162" s="134">
        <v>0.1792</v>
      </c>
    </row>
    <row r="3163" spans="3:12">
      <c r="C3163" s="161">
        <f t="shared" si="198"/>
        <v>2018</v>
      </c>
      <c r="D3163" s="35" t="s">
        <v>307</v>
      </c>
      <c r="E3163" s="227">
        <v>43282</v>
      </c>
      <c r="F3163" s="156">
        <v>402511.58</v>
      </c>
      <c r="G3163" s="131">
        <f t="shared" si="199"/>
        <v>72130.075135999999</v>
      </c>
      <c r="H3163" s="156">
        <v>7149.81</v>
      </c>
      <c r="I3163" s="156">
        <v>131542.42000000001</v>
      </c>
      <c r="J3163" s="156">
        <v>2000</v>
      </c>
      <c r="K3163" s="131">
        <f t="shared" si="200"/>
        <v>140692.23000000001</v>
      </c>
      <c r="L3163" s="134">
        <v>0.1792</v>
      </c>
    </row>
    <row r="3164" spans="3:12">
      <c r="C3164" s="161">
        <f t="shared" si="198"/>
        <v>2018</v>
      </c>
      <c r="D3164" s="35" t="s">
        <v>307</v>
      </c>
      <c r="E3164" s="227">
        <v>43313</v>
      </c>
      <c r="F3164" s="156">
        <v>396864.65</v>
      </c>
      <c r="G3164" s="131">
        <f t="shared" si="199"/>
        <v>71118.145279999997</v>
      </c>
      <c r="H3164" s="156">
        <v>118338.32</v>
      </c>
      <c r="I3164" s="156">
        <v>-23695.89</v>
      </c>
      <c r="J3164" s="156">
        <v>666.66</v>
      </c>
      <c r="K3164" s="131">
        <f t="shared" si="200"/>
        <v>95309.090000000011</v>
      </c>
      <c r="L3164" s="134">
        <v>0.1792</v>
      </c>
    </row>
    <row r="3165" spans="3:12">
      <c r="C3165" s="161">
        <f t="shared" si="198"/>
        <v>2018</v>
      </c>
      <c r="D3165" s="35" t="s">
        <v>307</v>
      </c>
      <c r="E3165" s="227">
        <v>43344</v>
      </c>
      <c r="F3165" s="156">
        <v>400656.1</v>
      </c>
      <c r="G3165" s="131">
        <f t="shared" si="199"/>
        <v>71797.573120000001</v>
      </c>
      <c r="H3165" s="156">
        <v>236829.83</v>
      </c>
      <c r="I3165" s="156">
        <v>0</v>
      </c>
      <c r="J3165" s="156">
        <v>0</v>
      </c>
      <c r="K3165" s="131">
        <f t="shared" si="200"/>
        <v>236829.83</v>
      </c>
      <c r="L3165" s="134">
        <v>0.1792</v>
      </c>
    </row>
    <row r="3166" spans="3:12">
      <c r="C3166" s="161">
        <f t="shared" si="198"/>
        <v>2018</v>
      </c>
      <c r="D3166" s="35" t="s">
        <v>307</v>
      </c>
      <c r="E3166" s="227">
        <v>43374</v>
      </c>
      <c r="F3166" s="156">
        <v>411402.23999999999</v>
      </c>
      <c r="G3166" s="131">
        <f t="shared" si="199"/>
        <v>73723.281407999995</v>
      </c>
      <c r="H3166" s="156">
        <v>58740.32</v>
      </c>
      <c r="I3166" s="156">
        <v>0</v>
      </c>
      <c r="J3166" s="156">
        <v>0</v>
      </c>
      <c r="K3166" s="131">
        <f t="shared" si="200"/>
        <v>58740.32</v>
      </c>
      <c r="L3166" s="134">
        <v>0.1792</v>
      </c>
    </row>
    <row r="3167" spans="3:12">
      <c r="C3167" s="161">
        <f t="shared" si="198"/>
        <v>2018</v>
      </c>
      <c r="D3167" s="35" t="s">
        <v>307</v>
      </c>
      <c r="E3167" s="227">
        <v>43405</v>
      </c>
      <c r="F3167" s="156">
        <v>451142.11725000001</v>
      </c>
      <c r="G3167" s="131">
        <f t="shared" si="199"/>
        <v>80844.667411200004</v>
      </c>
      <c r="H3167" s="156">
        <v>57605.75</v>
      </c>
      <c r="I3167" s="156">
        <v>250453.15</v>
      </c>
      <c r="J3167" s="156">
        <v>86445</v>
      </c>
      <c r="K3167" s="131">
        <f t="shared" si="200"/>
        <v>394503.9</v>
      </c>
      <c r="L3167" s="134">
        <v>0.1792</v>
      </c>
    </row>
    <row r="3168" spans="3:12">
      <c r="C3168" s="161">
        <f t="shared" si="198"/>
        <v>2018</v>
      </c>
      <c r="D3168" s="35" t="s">
        <v>307</v>
      </c>
      <c r="E3168" s="227">
        <v>43435</v>
      </c>
      <c r="F3168" s="156">
        <v>436450.06</v>
      </c>
      <c r="G3168" s="131">
        <f t="shared" si="199"/>
        <v>78211.850751999998</v>
      </c>
      <c r="H3168" s="156">
        <v>3591.83</v>
      </c>
      <c r="I3168" s="156">
        <v>0</v>
      </c>
      <c r="J3168" s="156">
        <v>0</v>
      </c>
      <c r="K3168" s="131">
        <f t="shared" si="200"/>
        <v>3591.83</v>
      </c>
      <c r="L3168" s="134">
        <v>0.1792</v>
      </c>
    </row>
    <row r="3169" spans="3:12">
      <c r="C3169" s="161">
        <f t="shared" si="198"/>
        <v>2019</v>
      </c>
      <c r="D3169" s="35" t="s">
        <v>307</v>
      </c>
      <c r="E3169" s="227">
        <v>43466</v>
      </c>
      <c r="F3169" s="156">
        <v>447688.66</v>
      </c>
      <c r="G3169" s="131">
        <f t="shared" si="199"/>
        <v>80225.80787199999</v>
      </c>
      <c r="H3169" s="156">
        <v>171777.6</v>
      </c>
      <c r="I3169" s="156">
        <v>0</v>
      </c>
      <c r="J3169" s="156">
        <v>472.09</v>
      </c>
      <c r="K3169" s="131">
        <f t="shared" si="200"/>
        <v>172249.69</v>
      </c>
      <c r="L3169" s="134">
        <v>0.1792</v>
      </c>
    </row>
    <row r="3170" spans="3:12">
      <c r="C3170" s="161">
        <f t="shared" si="198"/>
        <v>2019</v>
      </c>
      <c r="D3170" s="35" t="s">
        <v>307</v>
      </c>
      <c r="E3170" s="227">
        <v>43497</v>
      </c>
      <c r="F3170" s="156">
        <v>443135.57</v>
      </c>
      <c r="G3170" s="131">
        <f t="shared" si="199"/>
        <v>79409.894144000005</v>
      </c>
      <c r="H3170" s="156">
        <v>63192.54</v>
      </c>
      <c r="I3170" s="156">
        <v>-23353.55</v>
      </c>
      <c r="J3170" s="156">
        <v>0</v>
      </c>
      <c r="K3170" s="131">
        <f t="shared" si="200"/>
        <v>39838.990000000005</v>
      </c>
      <c r="L3170" s="134">
        <v>0.1792</v>
      </c>
    </row>
    <row r="3171" spans="3:12">
      <c r="C3171" s="161">
        <f t="shared" si="198"/>
        <v>2019</v>
      </c>
      <c r="D3171" s="35" t="s">
        <v>307</v>
      </c>
      <c r="E3171" s="227">
        <v>43525</v>
      </c>
      <c r="F3171" s="156">
        <v>403675.59</v>
      </c>
      <c r="G3171" s="131">
        <f t="shared" si="199"/>
        <v>72338.665728000007</v>
      </c>
      <c r="H3171" s="156">
        <v>34795.96</v>
      </c>
      <c r="I3171" s="156">
        <v>11019.38</v>
      </c>
      <c r="J3171" s="156">
        <v>0</v>
      </c>
      <c r="K3171" s="131">
        <f t="shared" si="200"/>
        <v>45815.34</v>
      </c>
      <c r="L3171" s="134">
        <v>0.1792</v>
      </c>
    </row>
    <row r="3172" spans="3:12">
      <c r="C3172" s="161">
        <f t="shared" si="198"/>
        <v>2019</v>
      </c>
      <c r="D3172" s="35" t="s">
        <v>307</v>
      </c>
      <c r="E3172" s="227">
        <v>43556</v>
      </c>
      <c r="F3172" s="156">
        <v>485766.22</v>
      </c>
      <c r="G3172" s="131">
        <f t="shared" si="199"/>
        <v>87049.30662399999</v>
      </c>
      <c r="H3172" s="156">
        <v>155164.82</v>
      </c>
      <c r="I3172" s="156">
        <v>0</v>
      </c>
      <c r="J3172" s="156">
        <v>2999.01</v>
      </c>
      <c r="K3172" s="131">
        <f t="shared" si="200"/>
        <v>158163.83000000002</v>
      </c>
      <c r="L3172" s="134">
        <v>0.1792</v>
      </c>
    </row>
    <row r="3173" spans="3:12">
      <c r="C3173" s="161">
        <f t="shared" si="198"/>
        <v>2019</v>
      </c>
      <c r="D3173" s="35" t="s">
        <v>307</v>
      </c>
      <c r="E3173" s="227">
        <v>43586</v>
      </c>
      <c r="F3173" s="156">
        <v>461695.53</v>
      </c>
      <c r="G3173" s="131">
        <f t="shared" si="199"/>
        <v>82735.838975999999</v>
      </c>
      <c r="H3173" s="156">
        <v>2987.61</v>
      </c>
      <c r="I3173" s="156">
        <v>0</v>
      </c>
      <c r="J3173" s="156">
        <v>0</v>
      </c>
      <c r="K3173" s="131">
        <f t="shared" si="200"/>
        <v>2987.61</v>
      </c>
      <c r="L3173" s="134">
        <v>0.1792</v>
      </c>
    </row>
    <row r="3174" spans="3:12">
      <c r="C3174" s="161">
        <f t="shared" si="198"/>
        <v>2019</v>
      </c>
      <c r="D3174" s="35" t="s">
        <v>307</v>
      </c>
      <c r="E3174" s="227">
        <v>43617</v>
      </c>
      <c r="F3174" s="156">
        <v>461986.33</v>
      </c>
      <c r="G3174" s="131">
        <f t="shared" si="199"/>
        <v>82787.950336000009</v>
      </c>
      <c r="H3174" s="156">
        <v>13359.98</v>
      </c>
      <c r="I3174" s="156">
        <v>0</v>
      </c>
      <c r="J3174" s="156">
        <v>1071.9010000000001</v>
      </c>
      <c r="K3174" s="131">
        <f t="shared" si="200"/>
        <v>14431.880999999999</v>
      </c>
      <c r="L3174" s="134">
        <v>0.1792</v>
      </c>
    </row>
    <row r="3175" spans="3:12">
      <c r="C3175" s="161">
        <f t="shared" si="198"/>
        <v>2019</v>
      </c>
      <c r="D3175" s="35" t="s">
        <v>307</v>
      </c>
      <c r="E3175" s="227">
        <v>43647</v>
      </c>
      <c r="F3175" s="156">
        <v>452077.16</v>
      </c>
      <c r="G3175" s="131">
        <f t="shared" si="199"/>
        <v>81012.227071999994</v>
      </c>
      <c r="H3175" s="156">
        <v>13690.13</v>
      </c>
      <c r="I3175" s="156">
        <v>0</v>
      </c>
      <c r="J3175" s="156">
        <v>1702.13</v>
      </c>
      <c r="K3175" s="131">
        <f t="shared" si="200"/>
        <v>15392.259999999998</v>
      </c>
      <c r="L3175" s="134">
        <v>0.1792</v>
      </c>
    </row>
    <row r="3176" spans="3:12">
      <c r="C3176" s="161">
        <f t="shared" si="198"/>
        <v>2019</v>
      </c>
      <c r="D3176" s="35" t="s">
        <v>307</v>
      </c>
      <c r="E3176" s="227">
        <v>43678</v>
      </c>
      <c r="F3176" s="156">
        <v>489574.1</v>
      </c>
      <c r="G3176" s="131">
        <f t="shared" si="199"/>
        <v>87731.678719999996</v>
      </c>
      <c r="H3176" s="156">
        <v>94439.19</v>
      </c>
      <c r="I3176" s="156">
        <v>67143.289999999994</v>
      </c>
      <c r="J3176" s="156">
        <v>1551.42</v>
      </c>
      <c r="K3176" s="131">
        <f t="shared" si="200"/>
        <v>163133.9</v>
      </c>
      <c r="L3176" s="134">
        <v>0.1792</v>
      </c>
    </row>
    <row r="3177" spans="3:12">
      <c r="C3177" s="161">
        <f t="shared" si="198"/>
        <v>2019</v>
      </c>
      <c r="D3177" s="35" t="s">
        <v>307</v>
      </c>
      <c r="E3177" s="227">
        <v>43709</v>
      </c>
      <c r="F3177" s="156">
        <v>531045.67000000004</v>
      </c>
      <c r="G3177" s="131">
        <f t="shared" si="199"/>
        <v>95163.384064000013</v>
      </c>
      <c r="H3177" s="156">
        <v>14713.32</v>
      </c>
      <c r="I3177" s="156">
        <v>0</v>
      </c>
      <c r="J3177" s="156">
        <v>0</v>
      </c>
      <c r="K3177" s="131">
        <f t="shared" si="200"/>
        <v>14713.32</v>
      </c>
      <c r="L3177" s="134">
        <v>0.1792</v>
      </c>
    </row>
    <row r="3178" spans="3:12">
      <c r="C3178" s="161">
        <f t="shared" si="198"/>
        <v>2019</v>
      </c>
      <c r="D3178" s="35" t="s">
        <v>307</v>
      </c>
      <c r="E3178" s="227">
        <v>43739</v>
      </c>
      <c r="F3178" s="156">
        <v>516392.38</v>
      </c>
      <c r="G3178" s="131">
        <f t="shared" si="199"/>
        <v>92537.514496000003</v>
      </c>
      <c r="H3178" s="156">
        <v>1917.46</v>
      </c>
      <c r="I3178" s="156">
        <v>534.14</v>
      </c>
      <c r="J3178" s="156">
        <v>0</v>
      </c>
      <c r="K3178" s="131">
        <f t="shared" si="200"/>
        <v>2451.6</v>
      </c>
      <c r="L3178" s="134">
        <v>0.1792</v>
      </c>
    </row>
    <row r="3179" spans="3:12">
      <c r="C3179" s="161">
        <f t="shared" si="198"/>
        <v>2019</v>
      </c>
      <c r="D3179" s="35" t="s">
        <v>307</v>
      </c>
      <c r="E3179" s="227">
        <v>43770</v>
      </c>
      <c r="F3179" s="156">
        <v>558936.66</v>
      </c>
      <c r="G3179" s="131">
        <f t="shared" si="199"/>
        <v>100161.44947200001</v>
      </c>
      <c r="H3179" s="156">
        <v>11067.91</v>
      </c>
      <c r="I3179" s="156">
        <v>29862.01</v>
      </c>
      <c r="J3179" s="156">
        <v>663.61</v>
      </c>
      <c r="K3179" s="131">
        <f t="shared" si="200"/>
        <v>41593.53</v>
      </c>
      <c r="L3179" s="134">
        <v>0.1792</v>
      </c>
    </row>
    <row r="3180" spans="3:12">
      <c r="C3180" s="161">
        <f t="shared" si="198"/>
        <v>2019</v>
      </c>
      <c r="D3180" s="35" t="s">
        <v>307</v>
      </c>
      <c r="E3180" s="227">
        <v>43800</v>
      </c>
      <c r="F3180" s="156">
        <v>500818.66</v>
      </c>
      <c r="G3180" s="131">
        <f t="shared" si="199"/>
        <v>89746.703871999998</v>
      </c>
      <c r="H3180" s="156">
        <v>4017.17</v>
      </c>
      <c r="I3180" s="156">
        <v>37248.46</v>
      </c>
      <c r="J3180" s="156">
        <v>664.68</v>
      </c>
      <c r="K3180" s="131">
        <f t="shared" si="200"/>
        <v>41930.31</v>
      </c>
      <c r="L3180" s="134">
        <v>0.1792</v>
      </c>
    </row>
    <row r="3181" spans="3:12">
      <c r="C3181" s="161">
        <f t="shared" si="198"/>
        <v>2020</v>
      </c>
      <c r="D3181" s="35" t="s">
        <v>307</v>
      </c>
      <c r="E3181" s="227">
        <v>43831</v>
      </c>
      <c r="F3181" s="156">
        <v>584928.94999999995</v>
      </c>
      <c r="G3181" s="131">
        <f t="shared" si="199"/>
        <v>104819.26783999999</v>
      </c>
      <c r="H3181" s="156">
        <v>1030.94</v>
      </c>
      <c r="I3181" s="156">
        <v>0</v>
      </c>
      <c r="J3181" s="156">
        <v>0</v>
      </c>
      <c r="K3181" s="131">
        <f t="shared" si="200"/>
        <v>1030.94</v>
      </c>
      <c r="L3181" s="134">
        <v>0.1792</v>
      </c>
    </row>
    <row r="3182" spans="3:12">
      <c r="C3182" s="161">
        <f t="shared" si="198"/>
        <v>2020</v>
      </c>
      <c r="D3182" s="35" t="s">
        <v>307</v>
      </c>
      <c r="E3182" s="227">
        <v>43862</v>
      </c>
      <c r="F3182" s="156">
        <v>542192.93999999994</v>
      </c>
      <c r="G3182" s="131">
        <f t="shared" si="199"/>
        <v>97160.974847999983</v>
      </c>
      <c r="H3182" s="156">
        <v>5085.68</v>
      </c>
      <c r="I3182" s="156">
        <v>5874.58</v>
      </c>
      <c r="J3182" s="156">
        <v>0</v>
      </c>
      <c r="K3182" s="131">
        <f t="shared" si="200"/>
        <v>10960.26</v>
      </c>
      <c r="L3182" s="134">
        <v>0.1792</v>
      </c>
    </row>
    <row r="3183" spans="3:12">
      <c r="C3183" s="161">
        <f t="shared" si="198"/>
        <v>2020</v>
      </c>
      <c r="D3183" s="35" t="s">
        <v>307</v>
      </c>
      <c r="E3183" s="227">
        <v>43891</v>
      </c>
      <c r="F3183" s="156">
        <v>518920.724025</v>
      </c>
      <c r="G3183" s="131">
        <f t="shared" si="199"/>
        <v>92990.593745279999</v>
      </c>
      <c r="H3183" s="156">
        <v>14148.54</v>
      </c>
      <c r="I3183" s="156">
        <v>0</v>
      </c>
      <c r="J3183" s="156">
        <v>0</v>
      </c>
      <c r="K3183" s="131">
        <f t="shared" si="200"/>
        <v>14148.54</v>
      </c>
      <c r="L3183" s="134">
        <v>0.1792</v>
      </c>
    </row>
    <row r="3184" spans="3:12">
      <c r="C3184" s="161">
        <f t="shared" si="198"/>
        <v>2020</v>
      </c>
      <c r="D3184" s="35" t="s">
        <v>307</v>
      </c>
      <c r="E3184" s="227">
        <v>43922</v>
      </c>
      <c r="F3184" s="156">
        <v>503468.03182500001</v>
      </c>
      <c r="G3184" s="131">
        <f t="shared" si="199"/>
        <v>90221.471303040002</v>
      </c>
      <c r="H3184" s="156">
        <v>685.46</v>
      </c>
      <c r="I3184" s="156">
        <v>280120.25</v>
      </c>
      <c r="J3184" s="156">
        <v>0</v>
      </c>
      <c r="K3184" s="131">
        <f t="shared" si="200"/>
        <v>280805.71000000002</v>
      </c>
      <c r="L3184" s="134">
        <v>0.1792</v>
      </c>
    </row>
    <row r="3185" spans="3:12">
      <c r="C3185" s="161">
        <f t="shared" si="198"/>
        <v>2020</v>
      </c>
      <c r="D3185" s="35" t="s">
        <v>307</v>
      </c>
      <c r="E3185" s="227">
        <v>43952</v>
      </c>
      <c r="F3185" s="156">
        <v>460686.17</v>
      </c>
      <c r="G3185" s="131">
        <f t="shared" si="199"/>
        <v>82554.961664000002</v>
      </c>
      <c r="H3185" s="156">
        <v>4910.29</v>
      </c>
      <c r="I3185" s="156">
        <v>0</v>
      </c>
      <c r="J3185" s="156">
        <v>0</v>
      </c>
      <c r="K3185" s="131">
        <f t="shared" si="200"/>
        <v>4910.29</v>
      </c>
      <c r="L3185" s="134">
        <v>0.1792</v>
      </c>
    </row>
    <row r="3186" spans="3:12">
      <c r="C3186" s="161">
        <f t="shared" si="198"/>
        <v>2020</v>
      </c>
      <c r="D3186" s="35" t="s">
        <v>307</v>
      </c>
      <c r="E3186" s="227">
        <v>43983</v>
      </c>
      <c r="F3186" s="156">
        <v>501595.36</v>
      </c>
      <c r="G3186" s="131">
        <f t="shared" si="199"/>
        <v>89885.88851199999</v>
      </c>
      <c r="H3186" s="156">
        <v>8101.72</v>
      </c>
      <c r="I3186" s="156">
        <v>190621.93</v>
      </c>
      <c r="J3186" s="156">
        <v>0</v>
      </c>
      <c r="K3186" s="131">
        <f t="shared" si="200"/>
        <v>198723.65</v>
      </c>
      <c r="L3186" s="134">
        <v>0.1792</v>
      </c>
    </row>
    <row r="3187" spans="3:12">
      <c r="C3187" s="161">
        <f t="shared" si="198"/>
        <v>2020</v>
      </c>
      <c r="D3187" s="35" t="s">
        <v>307</v>
      </c>
      <c r="E3187" s="227">
        <v>44013</v>
      </c>
      <c r="F3187" s="156">
        <v>450986.07</v>
      </c>
      <c r="G3187" s="131">
        <f t="shared" si="199"/>
        <v>80816.703743999999</v>
      </c>
      <c r="H3187" s="156">
        <v>3905.96</v>
      </c>
      <c r="I3187" s="156">
        <v>1468.7</v>
      </c>
      <c r="J3187" s="156">
        <v>0</v>
      </c>
      <c r="K3187" s="131">
        <f t="shared" si="200"/>
        <v>5374.66</v>
      </c>
      <c r="L3187" s="134">
        <v>0.1792</v>
      </c>
    </row>
    <row r="3188" spans="3:12">
      <c r="C3188" s="161">
        <f t="shared" si="198"/>
        <v>2020</v>
      </c>
      <c r="D3188" s="35" t="s">
        <v>307</v>
      </c>
      <c r="E3188" s="227">
        <v>44044</v>
      </c>
      <c r="F3188" s="156">
        <v>537482.91</v>
      </c>
      <c r="G3188" s="131">
        <f t="shared" si="199"/>
        <v>96316.937472000005</v>
      </c>
      <c r="H3188" s="156">
        <v>95767.23</v>
      </c>
      <c r="I3188" s="156">
        <v>57638.879999999997</v>
      </c>
      <c r="J3188" s="156">
        <v>0</v>
      </c>
      <c r="K3188" s="131">
        <f t="shared" si="200"/>
        <v>153406.10999999999</v>
      </c>
      <c r="L3188" s="134">
        <v>0.1792</v>
      </c>
    </row>
    <row r="3189" spans="3:12">
      <c r="C3189" s="161">
        <f t="shared" si="198"/>
        <v>2020</v>
      </c>
      <c r="D3189" s="35" t="s">
        <v>307</v>
      </c>
      <c r="E3189" s="227">
        <v>44075</v>
      </c>
      <c r="F3189" s="156">
        <v>585744.85</v>
      </c>
      <c r="G3189" s="131">
        <f t="shared" si="199"/>
        <v>104965.47712</v>
      </c>
      <c r="H3189" s="156">
        <v>148902.91</v>
      </c>
      <c r="I3189" s="156">
        <v>33701.980000000003</v>
      </c>
      <c r="J3189" s="156">
        <v>0</v>
      </c>
      <c r="K3189" s="131">
        <f t="shared" si="200"/>
        <v>182604.89</v>
      </c>
      <c r="L3189" s="134">
        <v>0.1792</v>
      </c>
    </row>
    <row r="3190" spans="3:12">
      <c r="C3190" s="161">
        <f t="shared" si="198"/>
        <v>2020</v>
      </c>
      <c r="D3190" s="35" t="s">
        <v>307</v>
      </c>
      <c r="E3190" s="227">
        <v>44105</v>
      </c>
      <c r="F3190" s="156">
        <v>649526.81999999995</v>
      </c>
      <c r="G3190" s="131">
        <f t="shared" si="199"/>
        <v>116395.206144</v>
      </c>
      <c r="H3190" s="156">
        <v>19041.02</v>
      </c>
      <c r="I3190" s="156">
        <v>216025.79</v>
      </c>
      <c r="J3190" s="156">
        <v>321.05</v>
      </c>
      <c r="K3190" s="131">
        <f t="shared" si="200"/>
        <v>235387.86</v>
      </c>
      <c r="L3190" s="134">
        <v>0.1792</v>
      </c>
    </row>
    <row r="3191" spans="3:12">
      <c r="C3191" s="161">
        <f t="shared" si="198"/>
        <v>2020</v>
      </c>
      <c r="D3191" s="35" t="s">
        <v>307</v>
      </c>
      <c r="E3191" s="227">
        <v>44136</v>
      </c>
      <c r="F3191" s="156">
        <v>545443.75</v>
      </c>
      <c r="G3191" s="131">
        <f t="shared" si="199"/>
        <v>97743.52</v>
      </c>
      <c r="H3191" s="156">
        <v>39179.019999999997</v>
      </c>
      <c r="I3191" s="156">
        <v>159577.57</v>
      </c>
      <c r="J3191" s="156">
        <v>0</v>
      </c>
      <c r="K3191" s="131">
        <f t="shared" si="200"/>
        <v>198756.59</v>
      </c>
      <c r="L3191" s="134">
        <v>0.1792</v>
      </c>
    </row>
    <row r="3192" spans="3:12">
      <c r="C3192" s="161">
        <f t="shared" si="198"/>
        <v>2020</v>
      </c>
      <c r="D3192" s="35" t="s">
        <v>307</v>
      </c>
      <c r="E3192" s="227">
        <v>44166</v>
      </c>
      <c r="F3192" s="156">
        <v>582182.71</v>
      </c>
      <c r="G3192" s="131">
        <f t="shared" si="199"/>
        <v>104327.141632</v>
      </c>
      <c r="H3192" s="156">
        <v>486.89</v>
      </c>
      <c r="I3192" s="156">
        <v>0</v>
      </c>
      <c r="J3192" s="156">
        <v>0</v>
      </c>
      <c r="K3192" s="131">
        <f t="shared" si="200"/>
        <v>486.89</v>
      </c>
      <c r="L3192" s="134">
        <v>0.1792</v>
      </c>
    </row>
    <row r="3193" spans="3:12">
      <c r="C3193" s="161">
        <f t="shared" si="198"/>
        <v>2021</v>
      </c>
      <c r="D3193" s="35" t="s">
        <v>307</v>
      </c>
      <c r="E3193" s="227">
        <v>44197</v>
      </c>
      <c r="F3193" s="156">
        <v>590056.85</v>
      </c>
      <c r="G3193" s="131">
        <f t="shared" si="199"/>
        <v>105738.18751999999</v>
      </c>
      <c r="H3193" s="156">
        <v>1041.04</v>
      </c>
      <c r="I3193" s="156">
        <v>0</v>
      </c>
      <c r="J3193" s="156">
        <v>2254</v>
      </c>
      <c r="K3193" s="131">
        <f t="shared" si="200"/>
        <v>3295.04</v>
      </c>
      <c r="L3193" s="134">
        <v>0.1792</v>
      </c>
    </row>
    <row r="3194" spans="3:12">
      <c r="C3194" s="161">
        <f t="shared" si="198"/>
        <v>2021</v>
      </c>
      <c r="D3194" s="35" t="s">
        <v>307</v>
      </c>
      <c r="E3194" s="227">
        <v>44229</v>
      </c>
      <c r="F3194" s="156">
        <v>512024.76</v>
      </c>
      <c r="G3194" s="131">
        <f t="shared" si="199"/>
        <v>91754.836991999997</v>
      </c>
      <c r="H3194" s="156">
        <v>1561.56</v>
      </c>
      <c r="I3194" s="156">
        <v>0</v>
      </c>
      <c r="J3194" s="156">
        <v>0</v>
      </c>
      <c r="K3194" s="131">
        <f t="shared" si="200"/>
        <v>1561.56</v>
      </c>
      <c r="L3194" s="134">
        <v>0.1792</v>
      </c>
    </row>
    <row r="3195" spans="3:12">
      <c r="C3195" s="161">
        <f t="shared" si="198"/>
        <v>2021</v>
      </c>
      <c r="D3195" s="35" t="s">
        <v>307</v>
      </c>
      <c r="E3195" s="227">
        <v>44258</v>
      </c>
      <c r="F3195" s="156">
        <v>573918.82999999996</v>
      </c>
      <c r="G3195" s="131">
        <f t="shared" si="199"/>
        <v>102846.254336</v>
      </c>
      <c r="H3195" s="156">
        <v>3094.24</v>
      </c>
      <c r="I3195" s="156">
        <v>66003.77</v>
      </c>
      <c r="J3195" s="156">
        <v>0</v>
      </c>
      <c r="K3195" s="131">
        <f t="shared" si="200"/>
        <v>69098.010000000009</v>
      </c>
      <c r="L3195" s="134">
        <v>0.1792</v>
      </c>
    </row>
    <row r="3196" spans="3:12">
      <c r="C3196" s="161">
        <f t="shared" si="198"/>
        <v>2021</v>
      </c>
      <c r="D3196" s="35" t="s">
        <v>307</v>
      </c>
      <c r="E3196" s="227">
        <v>44290</v>
      </c>
      <c r="F3196" s="156">
        <v>576897.80000000005</v>
      </c>
      <c r="G3196" s="131">
        <f t="shared" si="199"/>
        <v>103380.08576</v>
      </c>
      <c r="H3196" s="156">
        <v>515.17999999999995</v>
      </c>
      <c r="I3196" s="156">
        <v>0</v>
      </c>
      <c r="J3196" s="156">
        <v>0</v>
      </c>
      <c r="K3196" s="131">
        <f t="shared" si="200"/>
        <v>515.17999999999995</v>
      </c>
      <c r="L3196" s="134">
        <v>0.1792</v>
      </c>
    </row>
    <row r="3197" spans="3:12">
      <c r="C3197" s="161">
        <f t="shared" si="198"/>
        <v>2021</v>
      </c>
      <c r="D3197" s="35" t="s">
        <v>307</v>
      </c>
      <c r="E3197" s="227">
        <v>44321</v>
      </c>
      <c r="F3197" s="156">
        <v>509059.09</v>
      </c>
      <c r="G3197" s="131">
        <f t="shared" si="199"/>
        <v>91223.388928</v>
      </c>
      <c r="H3197" s="156">
        <v>19793.810000000001</v>
      </c>
      <c r="I3197" s="156">
        <v>0</v>
      </c>
      <c r="J3197" s="156">
        <v>0</v>
      </c>
      <c r="K3197" s="131">
        <f t="shared" si="200"/>
        <v>19793.810000000001</v>
      </c>
      <c r="L3197" s="134">
        <v>0.1792</v>
      </c>
    </row>
    <row r="3198" spans="3:12">
      <c r="C3198" s="161">
        <f t="shared" si="198"/>
        <v>2021</v>
      </c>
      <c r="D3198" s="35" t="s">
        <v>307</v>
      </c>
      <c r="E3198" s="227">
        <v>44353</v>
      </c>
      <c r="F3198" s="156">
        <v>491893.77</v>
      </c>
      <c r="G3198" s="131">
        <f t="shared" si="199"/>
        <v>88147.363584000006</v>
      </c>
      <c r="H3198" s="156">
        <v>9783.26</v>
      </c>
      <c r="I3198" s="156">
        <v>0</v>
      </c>
      <c r="J3198" s="156">
        <v>0</v>
      </c>
      <c r="K3198" s="131">
        <f t="shared" si="200"/>
        <v>9783.26</v>
      </c>
      <c r="L3198" s="134">
        <v>0.1792</v>
      </c>
    </row>
    <row r="3199" spans="3:12">
      <c r="C3199" s="161">
        <f t="shared" si="198"/>
        <v>2015</v>
      </c>
      <c r="D3199" s="35" t="s">
        <v>308</v>
      </c>
      <c r="E3199" s="227">
        <v>42309</v>
      </c>
      <c r="F3199" s="156">
        <v>1040052.03</v>
      </c>
      <c r="G3199" s="131">
        <f t="shared" si="199"/>
        <v>186377.323776</v>
      </c>
      <c r="H3199" s="156">
        <v>151003.18</v>
      </c>
      <c r="I3199" s="156">
        <v>77351.429999999993</v>
      </c>
      <c r="J3199" s="156">
        <v>0</v>
      </c>
      <c r="K3199" s="131">
        <f t="shared" si="200"/>
        <v>228354.61</v>
      </c>
      <c r="L3199" s="134">
        <v>0.1792</v>
      </c>
    </row>
    <row r="3200" spans="3:12">
      <c r="C3200" s="161">
        <f t="shared" si="198"/>
        <v>2015</v>
      </c>
      <c r="D3200" s="35" t="s">
        <v>308</v>
      </c>
      <c r="E3200" s="227">
        <v>42339</v>
      </c>
      <c r="F3200" s="156">
        <v>957426.88</v>
      </c>
      <c r="G3200" s="131">
        <f t="shared" si="199"/>
        <v>171570.89689599999</v>
      </c>
      <c r="H3200" s="156">
        <v>17604.439999999999</v>
      </c>
      <c r="I3200" s="156">
        <v>15928.25</v>
      </c>
      <c r="J3200" s="156">
        <v>0</v>
      </c>
      <c r="K3200" s="131">
        <f t="shared" si="200"/>
        <v>33532.69</v>
      </c>
      <c r="L3200" s="134">
        <v>0.1792</v>
      </c>
    </row>
    <row r="3201" spans="3:12">
      <c r="C3201" s="161">
        <f t="shared" si="198"/>
        <v>2016</v>
      </c>
      <c r="D3201" s="35" t="s">
        <v>308</v>
      </c>
      <c r="E3201" s="227">
        <v>42370</v>
      </c>
      <c r="F3201" s="156">
        <v>1010841.29</v>
      </c>
      <c r="G3201" s="131">
        <f t="shared" si="199"/>
        <v>181142.75916800002</v>
      </c>
      <c r="H3201" s="156">
        <v>577185.5</v>
      </c>
      <c r="I3201" s="156">
        <v>288.82</v>
      </c>
      <c r="J3201" s="156">
        <v>0</v>
      </c>
      <c r="K3201" s="131">
        <f t="shared" si="200"/>
        <v>577474.31999999995</v>
      </c>
      <c r="L3201" s="134">
        <v>0.1792</v>
      </c>
    </row>
    <row r="3202" spans="3:12">
      <c r="C3202" s="161">
        <f t="shared" si="198"/>
        <v>2016</v>
      </c>
      <c r="D3202" s="35" t="s">
        <v>308</v>
      </c>
      <c r="E3202" s="227">
        <v>42401</v>
      </c>
      <c r="F3202" s="156">
        <v>1063821.78</v>
      </c>
      <c r="G3202" s="131">
        <f t="shared" si="199"/>
        <v>190636.862976</v>
      </c>
      <c r="H3202" s="156">
        <v>85336.13</v>
      </c>
      <c r="I3202" s="156">
        <v>67.08</v>
      </c>
      <c r="J3202" s="156">
        <v>0</v>
      </c>
      <c r="K3202" s="131">
        <f t="shared" si="200"/>
        <v>85403.21</v>
      </c>
      <c r="L3202" s="134">
        <v>0.1792</v>
      </c>
    </row>
    <row r="3203" spans="3:12">
      <c r="C3203" s="161">
        <f t="shared" si="198"/>
        <v>2016</v>
      </c>
      <c r="D3203" s="35" t="s">
        <v>308</v>
      </c>
      <c r="E3203" s="227">
        <v>42430</v>
      </c>
      <c r="F3203" s="156">
        <v>961571.86</v>
      </c>
      <c r="G3203" s="131">
        <f t="shared" si="199"/>
        <v>172313.67731199999</v>
      </c>
      <c r="H3203" s="156">
        <v>12769.58</v>
      </c>
      <c r="I3203" s="156">
        <v>346.66</v>
      </c>
      <c r="J3203" s="156">
        <v>0</v>
      </c>
      <c r="K3203" s="131">
        <f t="shared" si="200"/>
        <v>13116.24</v>
      </c>
      <c r="L3203" s="134">
        <v>0.1792</v>
      </c>
    </row>
    <row r="3204" spans="3:12">
      <c r="C3204" s="161">
        <f t="shared" ref="C3204:C3267" si="201">YEAR(E3204)</f>
        <v>2016</v>
      </c>
      <c r="D3204" s="35" t="s">
        <v>308</v>
      </c>
      <c r="E3204" s="227">
        <v>42461</v>
      </c>
      <c r="F3204" s="156">
        <v>1096663.29</v>
      </c>
      <c r="G3204" s="131">
        <f t="shared" ref="G3204:G3267" si="202">F3204*L3204</f>
        <v>196522.061568</v>
      </c>
      <c r="H3204" s="156">
        <v>177534.88</v>
      </c>
      <c r="I3204" s="156">
        <v>665.93</v>
      </c>
      <c r="J3204" s="156">
        <v>0</v>
      </c>
      <c r="K3204" s="131">
        <f t="shared" ref="K3204:K3267" si="203">SUM(H3204:J3204)</f>
        <v>178200.81</v>
      </c>
      <c r="L3204" s="134">
        <v>0.1792</v>
      </c>
    </row>
    <row r="3205" spans="3:12">
      <c r="C3205" s="161">
        <f t="shared" si="201"/>
        <v>2016</v>
      </c>
      <c r="D3205" s="35" t="s">
        <v>308</v>
      </c>
      <c r="E3205" s="227">
        <v>42491</v>
      </c>
      <c r="F3205" s="156">
        <v>1007592.63</v>
      </c>
      <c r="G3205" s="131">
        <f t="shared" si="202"/>
        <v>180560.599296</v>
      </c>
      <c r="H3205" s="156">
        <v>216379.41</v>
      </c>
      <c r="I3205" s="156">
        <v>97.13</v>
      </c>
      <c r="J3205" s="156">
        <v>0</v>
      </c>
      <c r="K3205" s="131">
        <f t="shared" si="203"/>
        <v>216476.54</v>
      </c>
      <c r="L3205" s="134">
        <v>0.1792</v>
      </c>
    </row>
    <row r="3206" spans="3:12">
      <c r="C3206" s="161">
        <f t="shared" si="201"/>
        <v>2016</v>
      </c>
      <c r="D3206" s="35" t="s">
        <v>308</v>
      </c>
      <c r="E3206" s="227">
        <v>42522</v>
      </c>
      <c r="F3206" s="156">
        <v>947623.06</v>
      </c>
      <c r="G3206" s="131">
        <f t="shared" si="202"/>
        <v>169814.052352</v>
      </c>
      <c r="H3206" s="156">
        <v>67493.83</v>
      </c>
      <c r="I3206" s="156">
        <v>64147.03</v>
      </c>
      <c r="J3206" s="156">
        <v>92315.47</v>
      </c>
      <c r="K3206" s="131">
        <f t="shared" si="203"/>
        <v>223956.33</v>
      </c>
      <c r="L3206" s="134">
        <v>0.1792</v>
      </c>
    </row>
    <row r="3207" spans="3:12">
      <c r="C3207" s="161">
        <f t="shared" si="201"/>
        <v>2016</v>
      </c>
      <c r="D3207" s="35" t="s">
        <v>308</v>
      </c>
      <c r="E3207" s="227">
        <v>42552</v>
      </c>
      <c r="F3207" s="156">
        <v>1095399.3700000001</v>
      </c>
      <c r="G3207" s="131">
        <f t="shared" si="202"/>
        <v>196295.56710400002</v>
      </c>
      <c r="H3207" s="156">
        <v>9976.98</v>
      </c>
      <c r="I3207" s="156">
        <v>1284.05</v>
      </c>
      <c r="J3207" s="156">
        <v>4104</v>
      </c>
      <c r="K3207" s="131">
        <f t="shared" si="203"/>
        <v>15365.029999999999</v>
      </c>
      <c r="L3207" s="134">
        <v>0.1792</v>
      </c>
    </row>
    <row r="3208" spans="3:12">
      <c r="C3208" s="161">
        <f t="shared" si="201"/>
        <v>2016</v>
      </c>
      <c r="D3208" s="35" t="s">
        <v>308</v>
      </c>
      <c r="E3208" s="227">
        <v>42583</v>
      </c>
      <c r="F3208" s="156">
        <v>1108044.06</v>
      </c>
      <c r="G3208" s="131">
        <f t="shared" si="202"/>
        <v>198561.49555200001</v>
      </c>
      <c r="H3208" s="156">
        <v>14614.01</v>
      </c>
      <c r="I3208" s="156">
        <v>322639.37</v>
      </c>
      <c r="J3208" s="156">
        <v>13355.01</v>
      </c>
      <c r="K3208" s="131">
        <f t="shared" si="203"/>
        <v>350608.39</v>
      </c>
      <c r="L3208" s="134">
        <v>0.1792</v>
      </c>
    </row>
    <row r="3209" spans="3:12">
      <c r="C3209" s="161">
        <f t="shared" si="201"/>
        <v>2016</v>
      </c>
      <c r="D3209" s="35" t="s">
        <v>308</v>
      </c>
      <c r="E3209" s="227">
        <v>42614</v>
      </c>
      <c r="F3209" s="156">
        <v>1061887.8500000001</v>
      </c>
      <c r="G3209" s="131">
        <f t="shared" si="202"/>
        <v>190290.30272000001</v>
      </c>
      <c r="H3209" s="156">
        <v>8145.71</v>
      </c>
      <c r="I3209" s="156">
        <v>207682.82</v>
      </c>
      <c r="J3209" s="156">
        <v>0</v>
      </c>
      <c r="K3209" s="131">
        <f t="shared" si="203"/>
        <v>215828.53</v>
      </c>
      <c r="L3209" s="134">
        <v>0.1792</v>
      </c>
    </row>
    <row r="3210" spans="3:12">
      <c r="C3210" s="161">
        <f t="shared" si="201"/>
        <v>2016</v>
      </c>
      <c r="D3210" s="35" t="s">
        <v>308</v>
      </c>
      <c r="E3210" s="227">
        <v>42644</v>
      </c>
      <c r="F3210" s="156">
        <v>1139996.32</v>
      </c>
      <c r="G3210" s="131">
        <f t="shared" si="202"/>
        <v>204287.34054400001</v>
      </c>
      <c r="H3210" s="156">
        <v>5231.6099999999997</v>
      </c>
      <c r="I3210" s="156">
        <v>263122.84999999998</v>
      </c>
      <c r="J3210" s="156">
        <v>17080</v>
      </c>
      <c r="K3210" s="131">
        <f t="shared" si="203"/>
        <v>285434.45999999996</v>
      </c>
      <c r="L3210" s="134">
        <v>0.1792</v>
      </c>
    </row>
    <row r="3211" spans="3:12">
      <c r="C3211" s="161">
        <f t="shared" si="201"/>
        <v>2016</v>
      </c>
      <c r="D3211" s="35" t="s">
        <v>308</v>
      </c>
      <c r="E3211" s="227">
        <v>42675</v>
      </c>
      <c r="F3211" s="156">
        <v>1212796.79</v>
      </c>
      <c r="G3211" s="131">
        <f t="shared" si="202"/>
        <v>217333.18476800001</v>
      </c>
      <c r="H3211" s="156">
        <v>66781.42</v>
      </c>
      <c r="I3211" s="156">
        <v>245369.19</v>
      </c>
      <c r="J3211" s="156">
        <v>4560.32</v>
      </c>
      <c r="K3211" s="131">
        <f t="shared" si="203"/>
        <v>316710.93</v>
      </c>
      <c r="L3211" s="134">
        <v>0.1792</v>
      </c>
    </row>
    <row r="3212" spans="3:12">
      <c r="C3212" s="161">
        <f t="shared" si="201"/>
        <v>2016</v>
      </c>
      <c r="D3212" s="35" t="s">
        <v>308</v>
      </c>
      <c r="E3212" s="227">
        <v>42705</v>
      </c>
      <c r="F3212" s="156">
        <v>1239263.8999999999</v>
      </c>
      <c r="G3212" s="131">
        <f t="shared" si="202"/>
        <v>222076.09087999997</v>
      </c>
      <c r="H3212" s="156">
        <v>7271.19</v>
      </c>
      <c r="I3212" s="156">
        <v>266741.99</v>
      </c>
      <c r="J3212" s="156">
        <v>18564.07</v>
      </c>
      <c r="K3212" s="131">
        <f t="shared" si="203"/>
        <v>292577.25</v>
      </c>
      <c r="L3212" s="134">
        <v>0.1792</v>
      </c>
    </row>
    <row r="3213" spans="3:12">
      <c r="C3213" s="161">
        <f t="shared" si="201"/>
        <v>2017</v>
      </c>
      <c r="D3213" s="35" t="s">
        <v>308</v>
      </c>
      <c r="E3213" s="227">
        <v>42736</v>
      </c>
      <c r="F3213" s="156">
        <v>1261921.97</v>
      </c>
      <c r="G3213" s="131">
        <f t="shared" si="202"/>
        <v>226136.41702399999</v>
      </c>
      <c r="H3213" s="156">
        <v>5582.79</v>
      </c>
      <c r="I3213" s="156">
        <v>233157.88</v>
      </c>
      <c r="J3213" s="156">
        <v>3188.63</v>
      </c>
      <c r="K3213" s="131">
        <f t="shared" si="203"/>
        <v>241929.30000000002</v>
      </c>
      <c r="L3213" s="134">
        <v>0.1792</v>
      </c>
    </row>
    <row r="3214" spans="3:12">
      <c r="C3214" s="161">
        <f t="shared" si="201"/>
        <v>2017</v>
      </c>
      <c r="D3214" s="35" t="s">
        <v>308</v>
      </c>
      <c r="E3214" s="227">
        <v>42767</v>
      </c>
      <c r="F3214" s="156">
        <v>1182636.1200000001</v>
      </c>
      <c r="G3214" s="131">
        <f t="shared" si="202"/>
        <v>211928.39270400003</v>
      </c>
      <c r="H3214" s="156">
        <v>10666.66</v>
      </c>
      <c r="I3214" s="156">
        <v>247435.56</v>
      </c>
      <c r="J3214" s="156">
        <v>5173.26</v>
      </c>
      <c r="K3214" s="131">
        <f t="shared" si="203"/>
        <v>263275.48</v>
      </c>
      <c r="L3214" s="134">
        <v>0.1792</v>
      </c>
    </row>
    <row r="3215" spans="3:12">
      <c r="C3215" s="161">
        <f t="shared" si="201"/>
        <v>2017</v>
      </c>
      <c r="D3215" s="35" t="s">
        <v>308</v>
      </c>
      <c r="E3215" s="227">
        <v>42795</v>
      </c>
      <c r="F3215" s="156">
        <v>1153864.6499999999</v>
      </c>
      <c r="G3215" s="131">
        <f t="shared" si="202"/>
        <v>206772.54527999999</v>
      </c>
      <c r="H3215" s="156">
        <v>7641.83</v>
      </c>
      <c r="I3215" s="156">
        <v>249268.52</v>
      </c>
      <c r="J3215" s="156">
        <v>2145.16</v>
      </c>
      <c r="K3215" s="131">
        <f t="shared" si="203"/>
        <v>259055.50999999998</v>
      </c>
      <c r="L3215" s="134">
        <v>0.1792</v>
      </c>
    </row>
    <row r="3216" spans="3:12">
      <c r="C3216" s="161">
        <f t="shared" si="201"/>
        <v>2017</v>
      </c>
      <c r="D3216" s="35" t="s">
        <v>308</v>
      </c>
      <c r="E3216" s="227">
        <v>42826</v>
      </c>
      <c r="F3216" s="156">
        <v>1189675.49</v>
      </c>
      <c r="G3216" s="131">
        <f t="shared" si="202"/>
        <v>213189.84780799999</v>
      </c>
      <c r="H3216" s="156">
        <v>44537.68</v>
      </c>
      <c r="I3216" s="156">
        <v>186501</v>
      </c>
      <c r="J3216" s="156">
        <v>0</v>
      </c>
      <c r="K3216" s="131">
        <f t="shared" si="203"/>
        <v>231038.68</v>
      </c>
      <c r="L3216" s="134">
        <v>0.1792</v>
      </c>
    </row>
    <row r="3217" spans="3:12">
      <c r="C3217" s="161">
        <f t="shared" si="201"/>
        <v>2017</v>
      </c>
      <c r="D3217" s="35" t="s">
        <v>308</v>
      </c>
      <c r="E3217" s="227">
        <v>42856</v>
      </c>
      <c r="F3217" s="156">
        <v>1132930.76</v>
      </c>
      <c r="G3217" s="131">
        <f t="shared" si="202"/>
        <v>203021.19219199999</v>
      </c>
      <c r="H3217" s="156">
        <v>4111.03</v>
      </c>
      <c r="I3217" s="156">
        <v>191.65</v>
      </c>
      <c r="J3217" s="156">
        <v>943.74</v>
      </c>
      <c r="K3217" s="131">
        <f t="shared" si="203"/>
        <v>5246.4199999999992</v>
      </c>
      <c r="L3217" s="134">
        <v>0.1792</v>
      </c>
    </row>
    <row r="3218" spans="3:12">
      <c r="C3218" s="161">
        <f t="shared" si="201"/>
        <v>2017</v>
      </c>
      <c r="D3218" s="35" t="s">
        <v>308</v>
      </c>
      <c r="E3218" s="227">
        <v>42887</v>
      </c>
      <c r="F3218" s="156">
        <v>1125619.1200000001</v>
      </c>
      <c r="G3218" s="131">
        <f t="shared" si="202"/>
        <v>201710.94630400001</v>
      </c>
      <c r="H3218" s="156">
        <v>10348.07</v>
      </c>
      <c r="I3218" s="156">
        <v>37774.800000000003</v>
      </c>
      <c r="J3218" s="156">
        <v>0</v>
      </c>
      <c r="K3218" s="131">
        <f t="shared" si="203"/>
        <v>48122.87</v>
      </c>
      <c r="L3218" s="134">
        <v>0.1792</v>
      </c>
    </row>
    <row r="3219" spans="3:12">
      <c r="C3219" s="161">
        <f t="shared" si="201"/>
        <v>2017</v>
      </c>
      <c r="D3219" s="35" t="s">
        <v>308</v>
      </c>
      <c r="E3219" s="227">
        <v>42917</v>
      </c>
      <c r="F3219" s="156">
        <v>1121362.95</v>
      </c>
      <c r="G3219" s="131">
        <f t="shared" si="202"/>
        <v>200948.24064</v>
      </c>
      <c r="H3219" s="156">
        <v>6812.36</v>
      </c>
      <c r="I3219" s="156">
        <v>59010.3</v>
      </c>
      <c r="J3219" s="156">
        <v>0</v>
      </c>
      <c r="K3219" s="131">
        <f t="shared" si="203"/>
        <v>65822.66</v>
      </c>
      <c r="L3219" s="134">
        <v>0.1792</v>
      </c>
    </row>
    <row r="3220" spans="3:12">
      <c r="C3220" s="161">
        <f t="shared" si="201"/>
        <v>2017</v>
      </c>
      <c r="D3220" s="35" t="s">
        <v>308</v>
      </c>
      <c r="E3220" s="227">
        <v>42948</v>
      </c>
      <c r="F3220" s="156">
        <v>1286277.3999999999</v>
      </c>
      <c r="G3220" s="131">
        <f t="shared" si="202"/>
        <v>230500.91007999997</v>
      </c>
      <c r="H3220" s="156">
        <v>22786.63</v>
      </c>
      <c r="I3220" s="156">
        <v>79962.7</v>
      </c>
      <c r="J3220" s="156">
        <v>0</v>
      </c>
      <c r="K3220" s="131">
        <f t="shared" si="203"/>
        <v>102749.33</v>
      </c>
      <c r="L3220" s="134">
        <v>0.1792</v>
      </c>
    </row>
    <row r="3221" spans="3:12">
      <c r="C3221" s="161">
        <f t="shared" si="201"/>
        <v>2017</v>
      </c>
      <c r="D3221" s="35" t="s">
        <v>308</v>
      </c>
      <c r="E3221" s="227">
        <v>42979</v>
      </c>
      <c r="F3221" s="156">
        <v>1378745.53</v>
      </c>
      <c r="G3221" s="131">
        <f t="shared" si="202"/>
        <v>247071.19897600001</v>
      </c>
      <c r="H3221" s="156">
        <v>12672.63</v>
      </c>
      <c r="I3221" s="156">
        <v>123879.32</v>
      </c>
      <c r="J3221" s="156">
        <v>0</v>
      </c>
      <c r="K3221" s="131">
        <f t="shared" si="203"/>
        <v>136551.95000000001</v>
      </c>
      <c r="L3221" s="134">
        <v>0.1792</v>
      </c>
    </row>
    <row r="3222" spans="3:12">
      <c r="C3222" s="161">
        <f t="shared" si="201"/>
        <v>2017</v>
      </c>
      <c r="D3222" s="35" t="s">
        <v>308</v>
      </c>
      <c r="E3222" s="227">
        <v>43009</v>
      </c>
      <c r="F3222" s="156">
        <v>1289656.8500000001</v>
      </c>
      <c r="G3222" s="131">
        <f t="shared" si="202"/>
        <v>231106.50752000001</v>
      </c>
      <c r="H3222" s="156">
        <v>13124.93</v>
      </c>
      <c r="I3222" s="156">
        <v>367851.23</v>
      </c>
      <c r="J3222" s="156">
        <v>0</v>
      </c>
      <c r="K3222" s="131">
        <f t="shared" si="203"/>
        <v>380976.16</v>
      </c>
      <c r="L3222" s="134">
        <v>0.1792</v>
      </c>
    </row>
    <row r="3223" spans="3:12">
      <c r="C3223" s="161">
        <f t="shared" si="201"/>
        <v>2017</v>
      </c>
      <c r="D3223" s="35" t="s">
        <v>308</v>
      </c>
      <c r="E3223" s="227">
        <v>43040</v>
      </c>
      <c r="F3223" s="156">
        <v>1290156.05</v>
      </c>
      <c r="G3223" s="131">
        <f t="shared" si="202"/>
        <v>231195.96416</v>
      </c>
      <c r="H3223" s="156">
        <v>4390.9799999999996</v>
      </c>
      <c r="I3223" s="156">
        <v>236948.19</v>
      </c>
      <c r="J3223" s="156">
        <v>678.3</v>
      </c>
      <c r="K3223" s="131">
        <f t="shared" si="203"/>
        <v>242017.47</v>
      </c>
      <c r="L3223" s="134">
        <v>0.1792</v>
      </c>
    </row>
    <row r="3224" spans="3:12">
      <c r="C3224" s="161">
        <f t="shared" si="201"/>
        <v>2017</v>
      </c>
      <c r="D3224" s="35" t="s">
        <v>308</v>
      </c>
      <c r="E3224" s="227">
        <v>43070</v>
      </c>
      <c r="F3224" s="156">
        <v>1323270.03</v>
      </c>
      <c r="G3224" s="131">
        <f t="shared" si="202"/>
        <v>237129.98937600001</v>
      </c>
      <c r="H3224" s="156">
        <v>2433.27</v>
      </c>
      <c r="I3224" s="156">
        <v>7191.62</v>
      </c>
      <c r="J3224" s="156">
        <v>0</v>
      </c>
      <c r="K3224" s="131">
        <f t="shared" si="203"/>
        <v>9624.89</v>
      </c>
      <c r="L3224" s="134">
        <v>0.1792</v>
      </c>
    </row>
    <row r="3225" spans="3:12">
      <c r="C3225" s="161">
        <f t="shared" si="201"/>
        <v>2018</v>
      </c>
      <c r="D3225" s="35" t="s">
        <v>308</v>
      </c>
      <c r="E3225" s="227">
        <v>43101</v>
      </c>
      <c r="F3225" s="156">
        <v>1252587.3600000001</v>
      </c>
      <c r="G3225" s="131">
        <f t="shared" si="202"/>
        <v>224463.65491200003</v>
      </c>
      <c r="H3225" s="156">
        <v>15581.08</v>
      </c>
      <c r="I3225" s="156">
        <v>329.55</v>
      </c>
      <c r="J3225" s="156">
        <v>37131.64</v>
      </c>
      <c r="K3225" s="131">
        <f t="shared" si="203"/>
        <v>53042.27</v>
      </c>
      <c r="L3225" s="134">
        <v>0.1792</v>
      </c>
    </row>
    <row r="3226" spans="3:12">
      <c r="C3226" s="161">
        <f t="shared" si="201"/>
        <v>2018</v>
      </c>
      <c r="D3226" s="35" t="s">
        <v>308</v>
      </c>
      <c r="E3226" s="227">
        <v>43132</v>
      </c>
      <c r="F3226" s="156">
        <v>1315048.4099999999</v>
      </c>
      <c r="G3226" s="131">
        <f t="shared" si="202"/>
        <v>235656.67507199998</v>
      </c>
      <c r="H3226" s="156">
        <v>11906.53</v>
      </c>
      <c r="I3226" s="156">
        <v>42900</v>
      </c>
      <c r="J3226" s="156">
        <v>25154.52</v>
      </c>
      <c r="K3226" s="131">
        <f t="shared" si="203"/>
        <v>79961.05</v>
      </c>
      <c r="L3226" s="134">
        <v>0.1792</v>
      </c>
    </row>
    <row r="3227" spans="3:12">
      <c r="C3227" s="161">
        <f t="shared" si="201"/>
        <v>2018</v>
      </c>
      <c r="D3227" s="35" t="s">
        <v>308</v>
      </c>
      <c r="E3227" s="227">
        <v>43160</v>
      </c>
      <c r="F3227" s="156">
        <v>1233208.75</v>
      </c>
      <c r="G3227" s="131">
        <f t="shared" si="202"/>
        <v>220991.008</v>
      </c>
      <c r="H3227" s="156">
        <v>7563.04</v>
      </c>
      <c r="I3227" s="156">
        <v>258.97000000000003</v>
      </c>
      <c r="J3227" s="156">
        <v>31460.63</v>
      </c>
      <c r="K3227" s="131">
        <f t="shared" si="203"/>
        <v>39282.639999999999</v>
      </c>
      <c r="L3227" s="134">
        <v>0.1792</v>
      </c>
    </row>
    <row r="3228" spans="3:12">
      <c r="C3228" s="161">
        <f t="shared" si="201"/>
        <v>2018</v>
      </c>
      <c r="D3228" s="35" t="s">
        <v>308</v>
      </c>
      <c r="E3228" s="227">
        <v>43191</v>
      </c>
      <c r="F3228" s="156">
        <v>1338054.99</v>
      </c>
      <c r="G3228" s="131">
        <f t="shared" si="202"/>
        <v>239779.45420800001</v>
      </c>
      <c r="H3228" s="156">
        <v>9517.67</v>
      </c>
      <c r="I3228" s="156">
        <v>43725.2</v>
      </c>
      <c r="J3228" s="156">
        <v>0</v>
      </c>
      <c r="K3228" s="131">
        <f t="shared" si="203"/>
        <v>53242.869999999995</v>
      </c>
      <c r="L3228" s="134">
        <v>0.1792</v>
      </c>
    </row>
    <row r="3229" spans="3:12">
      <c r="C3229" s="161">
        <f t="shared" si="201"/>
        <v>2018</v>
      </c>
      <c r="D3229" s="35" t="s">
        <v>308</v>
      </c>
      <c r="E3229" s="227">
        <v>43221</v>
      </c>
      <c r="F3229" s="156">
        <v>1306001.9199999999</v>
      </c>
      <c r="G3229" s="131">
        <f t="shared" si="202"/>
        <v>234035.54406399999</v>
      </c>
      <c r="H3229" s="156">
        <v>10102.23</v>
      </c>
      <c r="I3229" s="156">
        <v>98573.91</v>
      </c>
      <c r="J3229" s="156">
        <v>31671.83</v>
      </c>
      <c r="K3229" s="131">
        <f t="shared" si="203"/>
        <v>140347.97</v>
      </c>
      <c r="L3229" s="134">
        <v>0.1792</v>
      </c>
    </row>
    <row r="3230" spans="3:12">
      <c r="C3230" s="161">
        <f t="shared" si="201"/>
        <v>2018</v>
      </c>
      <c r="D3230" s="35" t="s">
        <v>308</v>
      </c>
      <c r="E3230" s="227">
        <v>43252</v>
      </c>
      <c r="F3230" s="156">
        <v>1222874.3500000001</v>
      </c>
      <c r="G3230" s="131">
        <f t="shared" si="202"/>
        <v>219139.08352000001</v>
      </c>
      <c r="H3230" s="156">
        <v>24659.11</v>
      </c>
      <c r="I3230" s="156">
        <v>252870.79</v>
      </c>
      <c r="J3230" s="156">
        <v>0</v>
      </c>
      <c r="K3230" s="131">
        <f t="shared" si="203"/>
        <v>277529.90000000002</v>
      </c>
      <c r="L3230" s="134">
        <v>0.1792</v>
      </c>
    </row>
    <row r="3231" spans="3:12">
      <c r="C3231" s="161">
        <f t="shared" si="201"/>
        <v>2018</v>
      </c>
      <c r="D3231" s="35" t="s">
        <v>308</v>
      </c>
      <c r="E3231" s="227">
        <v>43282</v>
      </c>
      <c r="F3231" s="156">
        <v>1281007.98</v>
      </c>
      <c r="G3231" s="131">
        <f t="shared" si="202"/>
        <v>229556.63001599998</v>
      </c>
      <c r="H3231" s="156">
        <v>13598.49</v>
      </c>
      <c r="I3231" s="156">
        <v>869.76</v>
      </c>
      <c r="J3231" s="156">
        <v>1150</v>
      </c>
      <c r="K3231" s="131">
        <f t="shared" si="203"/>
        <v>15618.25</v>
      </c>
      <c r="L3231" s="134">
        <v>0.1792</v>
      </c>
    </row>
    <row r="3232" spans="3:12">
      <c r="C3232" s="161">
        <f t="shared" si="201"/>
        <v>2018</v>
      </c>
      <c r="D3232" s="35" t="s">
        <v>308</v>
      </c>
      <c r="E3232" s="227">
        <v>43313</v>
      </c>
      <c r="F3232" s="156">
        <v>1241399.72</v>
      </c>
      <c r="G3232" s="131">
        <f t="shared" si="202"/>
        <v>222458.82982399999</v>
      </c>
      <c r="H3232" s="156">
        <v>441398.32</v>
      </c>
      <c r="I3232" s="156">
        <v>6040.9</v>
      </c>
      <c r="J3232" s="156">
        <v>0</v>
      </c>
      <c r="K3232" s="131">
        <f t="shared" si="203"/>
        <v>447439.22000000003</v>
      </c>
      <c r="L3232" s="134">
        <v>0.1792</v>
      </c>
    </row>
    <row r="3233" spans="3:12">
      <c r="C3233" s="161">
        <f t="shared" si="201"/>
        <v>2018</v>
      </c>
      <c r="D3233" s="35" t="s">
        <v>308</v>
      </c>
      <c r="E3233" s="227">
        <v>43344</v>
      </c>
      <c r="F3233" s="156">
        <v>1284163.55</v>
      </c>
      <c r="G3233" s="131">
        <f t="shared" si="202"/>
        <v>230122.10816</v>
      </c>
      <c r="H3233" s="156">
        <v>5936.81</v>
      </c>
      <c r="I3233" s="156">
        <v>189.5</v>
      </c>
      <c r="J3233" s="156">
        <v>25753.86</v>
      </c>
      <c r="K3233" s="131">
        <f t="shared" si="203"/>
        <v>31880.170000000002</v>
      </c>
      <c r="L3233" s="134">
        <v>0.1792</v>
      </c>
    </row>
    <row r="3234" spans="3:12">
      <c r="C3234" s="161">
        <f t="shared" si="201"/>
        <v>2018</v>
      </c>
      <c r="D3234" s="35" t="s">
        <v>308</v>
      </c>
      <c r="E3234" s="227">
        <v>43374</v>
      </c>
      <c r="F3234" s="156">
        <v>1272206.0900000001</v>
      </c>
      <c r="G3234" s="131">
        <f t="shared" si="202"/>
        <v>227979.331328</v>
      </c>
      <c r="H3234" s="156">
        <v>5620.94</v>
      </c>
      <c r="I3234" s="156">
        <v>34.24</v>
      </c>
      <c r="J3234" s="156">
        <v>18210.37</v>
      </c>
      <c r="K3234" s="131">
        <f t="shared" si="203"/>
        <v>23865.55</v>
      </c>
      <c r="L3234" s="134">
        <v>0.1792</v>
      </c>
    </row>
    <row r="3235" spans="3:12">
      <c r="C3235" s="161">
        <f t="shared" si="201"/>
        <v>2018</v>
      </c>
      <c r="D3235" s="35" t="s">
        <v>308</v>
      </c>
      <c r="E3235" s="227">
        <v>43405</v>
      </c>
      <c r="F3235" s="156">
        <v>1355220.5246250001</v>
      </c>
      <c r="G3235" s="131">
        <f t="shared" si="202"/>
        <v>242855.51801280002</v>
      </c>
      <c r="H3235" s="156">
        <v>11181.1</v>
      </c>
      <c r="I3235" s="156">
        <v>392.69</v>
      </c>
      <c r="J3235" s="156">
        <v>99134.32</v>
      </c>
      <c r="K3235" s="131">
        <f t="shared" si="203"/>
        <v>110708.11000000002</v>
      </c>
      <c r="L3235" s="134">
        <v>0.1792</v>
      </c>
    </row>
    <row r="3236" spans="3:12">
      <c r="C3236" s="161">
        <f t="shared" si="201"/>
        <v>2018</v>
      </c>
      <c r="D3236" s="35" t="s">
        <v>308</v>
      </c>
      <c r="E3236" s="227">
        <v>43435</v>
      </c>
      <c r="F3236" s="156">
        <v>1444766.34</v>
      </c>
      <c r="G3236" s="131">
        <f t="shared" si="202"/>
        <v>258902.12812800001</v>
      </c>
      <c r="H3236" s="156">
        <v>7146.53</v>
      </c>
      <c r="I3236" s="156">
        <v>104.69</v>
      </c>
      <c r="J3236" s="156">
        <v>19057.419999999998</v>
      </c>
      <c r="K3236" s="131">
        <f t="shared" si="203"/>
        <v>26308.639999999999</v>
      </c>
      <c r="L3236" s="134">
        <v>0.1792</v>
      </c>
    </row>
    <row r="3237" spans="3:12">
      <c r="C3237" s="161">
        <f t="shared" si="201"/>
        <v>2019</v>
      </c>
      <c r="D3237" s="35" t="s">
        <v>308</v>
      </c>
      <c r="E3237" s="227">
        <v>43466</v>
      </c>
      <c r="F3237" s="156">
        <v>1447697.1</v>
      </c>
      <c r="G3237" s="131">
        <f t="shared" si="202"/>
        <v>259427.32032000003</v>
      </c>
      <c r="H3237" s="156">
        <v>5828.18</v>
      </c>
      <c r="I3237" s="156">
        <v>181133.21</v>
      </c>
      <c r="J3237" s="156">
        <v>1513.1</v>
      </c>
      <c r="K3237" s="131">
        <f t="shared" si="203"/>
        <v>188474.49</v>
      </c>
      <c r="L3237" s="134">
        <v>0.1792</v>
      </c>
    </row>
    <row r="3238" spans="3:12">
      <c r="C3238" s="161">
        <f t="shared" si="201"/>
        <v>2019</v>
      </c>
      <c r="D3238" s="35" t="s">
        <v>308</v>
      </c>
      <c r="E3238" s="227">
        <v>43497</v>
      </c>
      <c r="F3238" s="156">
        <v>1419382.51</v>
      </c>
      <c r="G3238" s="131">
        <f t="shared" si="202"/>
        <v>254353.34579200001</v>
      </c>
      <c r="H3238" s="156">
        <v>2136.9</v>
      </c>
      <c r="I3238" s="156">
        <v>210186.4</v>
      </c>
      <c r="J3238" s="156">
        <v>0</v>
      </c>
      <c r="K3238" s="131">
        <f t="shared" si="203"/>
        <v>212323.3</v>
      </c>
      <c r="L3238" s="134">
        <v>0.1792</v>
      </c>
    </row>
    <row r="3239" spans="3:12">
      <c r="C3239" s="161">
        <f t="shared" si="201"/>
        <v>2019</v>
      </c>
      <c r="D3239" s="35" t="s">
        <v>308</v>
      </c>
      <c r="E3239" s="227">
        <v>43525</v>
      </c>
      <c r="F3239" s="156">
        <v>1253201.72</v>
      </c>
      <c r="G3239" s="131">
        <f t="shared" si="202"/>
        <v>224573.74822399998</v>
      </c>
      <c r="H3239" s="156">
        <v>10321.379999999999</v>
      </c>
      <c r="I3239" s="156">
        <v>183537.77</v>
      </c>
      <c r="J3239" s="156">
        <v>0</v>
      </c>
      <c r="K3239" s="131">
        <f t="shared" si="203"/>
        <v>193859.15</v>
      </c>
      <c r="L3239" s="134">
        <v>0.1792</v>
      </c>
    </row>
    <row r="3240" spans="3:12">
      <c r="C3240" s="161">
        <f t="shared" si="201"/>
        <v>2019</v>
      </c>
      <c r="D3240" s="35" t="s">
        <v>308</v>
      </c>
      <c r="E3240" s="227">
        <v>43556</v>
      </c>
      <c r="F3240" s="156">
        <v>1376383.51</v>
      </c>
      <c r="G3240" s="131">
        <f t="shared" si="202"/>
        <v>246647.92499199999</v>
      </c>
      <c r="H3240" s="156">
        <v>5746.77</v>
      </c>
      <c r="I3240" s="156">
        <v>404314.24</v>
      </c>
      <c r="J3240" s="156">
        <v>0</v>
      </c>
      <c r="K3240" s="131">
        <f t="shared" si="203"/>
        <v>410061.01</v>
      </c>
      <c r="L3240" s="134">
        <v>0.1792</v>
      </c>
    </row>
    <row r="3241" spans="3:12">
      <c r="C3241" s="161">
        <f t="shared" si="201"/>
        <v>2019</v>
      </c>
      <c r="D3241" s="35" t="s">
        <v>308</v>
      </c>
      <c r="E3241" s="227">
        <v>43586</v>
      </c>
      <c r="F3241" s="156">
        <v>1319180</v>
      </c>
      <c r="G3241" s="131">
        <f t="shared" si="202"/>
        <v>236397.05600000001</v>
      </c>
      <c r="H3241" s="156">
        <v>11713.96</v>
      </c>
      <c r="I3241" s="156">
        <v>395583.76</v>
      </c>
      <c r="J3241" s="156">
        <v>17581.88</v>
      </c>
      <c r="K3241" s="131">
        <f t="shared" si="203"/>
        <v>424879.60000000003</v>
      </c>
      <c r="L3241" s="134">
        <v>0.1792</v>
      </c>
    </row>
    <row r="3242" spans="3:12">
      <c r="C3242" s="161">
        <f t="shared" si="201"/>
        <v>2019</v>
      </c>
      <c r="D3242" s="35" t="s">
        <v>308</v>
      </c>
      <c r="E3242" s="227">
        <v>43617</v>
      </c>
      <c r="F3242" s="156">
        <v>1342854.46</v>
      </c>
      <c r="G3242" s="131">
        <f t="shared" si="202"/>
        <v>240639.51923199999</v>
      </c>
      <c r="H3242" s="156">
        <v>31222.240000000002</v>
      </c>
      <c r="I3242" s="156">
        <v>362797.8</v>
      </c>
      <c r="J3242" s="156">
        <v>0</v>
      </c>
      <c r="K3242" s="131">
        <f t="shared" si="203"/>
        <v>394020.04</v>
      </c>
      <c r="L3242" s="134">
        <v>0.1792</v>
      </c>
    </row>
    <row r="3243" spans="3:12">
      <c r="C3243" s="161">
        <f t="shared" si="201"/>
        <v>2019</v>
      </c>
      <c r="D3243" s="35" t="s">
        <v>308</v>
      </c>
      <c r="E3243" s="227">
        <v>43647</v>
      </c>
      <c r="F3243" s="156">
        <v>1340894.28</v>
      </c>
      <c r="G3243" s="131">
        <f t="shared" si="202"/>
        <v>240288.254976</v>
      </c>
      <c r="H3243" s="156">
        <v>26300.84</v>
      </c>
      <c r="I3243" s="156">
        <v>106708.38</v>
      </c>
      <c r="J3243" s="156">
        <v>16535.57</v>
      </c>
      <c r="K3243" s="131">
        <f t="shared" si="203"/>
        <v>149544.79</v>
      </c>
      <c r="L3243" s="134">
        <v>0.1792</v>
      </c>
    </row>
    <row r="3244" spans="3:12">
      <c r="C3244" s="161">
        <f t="shared" si="201"/>
        <v>2019</v>
      </c>
      <c r="D3244" s="35" t="s">
        <v>308</v>
      </c>
      <c r="E3244" s="227">
        <v>43678</v>
      </c>
      <c r="F3244" s="156">
        <v>1440970.59</v>
      </c>
      <c r="G3244" s="131">
        <f t="shared" si="202"/>
        <v>258221.92972800002</v>
      </c>
      <c r="H3244" s="156">
        <v>18430</v>
      </c>
      <c r="I3244" s="156">
        <v>22560.81</v>
      </c>
      <c r="J3244" s="156">
        <v>870</v>
      </c>
      <c r="K3244" s="131">
        <f t="shared" si="203"/>
        <v>41860.81</v>
      </c>
      <c r="L3244" s="134">
        <v>0.1792</v>
      </c>
    </row>
    <row r="3245" spans="3:12">
      <c r="C3245" s="161">
        <f t="shared" si="201"/>
        <v>2019</v>
      </c>
      <c r="D3245" s="35" t="s">
        <v>308</v>
      </c>
      <c r="E3245" s="227">
        <v>43709</v>
      </c>
      <c r="F3245" s="156">
        <v>1601593.22</v>
      </c>
      <c r="G3245" s="131">
        <f t="shared" si="202"/>
        <v>287005.50502400001</v>
      </c>
      <c r="H3245" s="156">
        <v>42949.8</v>
      </c>
      <c r="I3245" s="156">
        <v>20167.849999999999</v>
      </c>
      <c r="J3245" s="156">
        <v>175856.52</v>
      </c>
      <c r="K3245" s="131">
        <f t="shared" si="203"/>
        <v>238974.16999999998</v>
      </c>
      <c r="L3245" s="134">
        <v>0.1792</v>
      </c>
    </row>
    <row r="3246" spans="3:12">
      <c r="C3246" s="161">
        <f t="shared" si="201"/>
        <v>2019</v>
      </c>
      <c r="D3246" s="35" t="s">
        <v>308</v>
      </c>
      <c r="E3246" s="227">
        <v>43739</v>
      </c>
      <c r="F3246" s="156">
        <v>1577513.04</v>
      </c>
      <c r="G3246" s="131">
        <f t="shared" si="202"/>
        <v>282690.33676799998</v>
      </c>
      <c r="H3246" s="156">
        <v>34337</v>
      </c>
      <c r="I3246" s="156">
        <v>17499.560000000001</v>
      </c>
      <c r="J3246" s="156">
        <v>326133.40999999997</v>
      </c>
      <c r="K3246" s="131">
        <f t="shared" si="203"/>
        <v>377969.97</v>
      </c>
      <c r="L3246" s="134">
        <v>0.1792</v>
      </c>
    </row>
    <row r="3247" spans="3:12">
      <c r="C3247" s="161">
        <f t="shared" si="201"/>
        <v>2019</v>
      </c>
      <c r="D3247" s="35" t="s">
        <v>308</v>
      </c>
      <c r="E3247" s="227">
        <v>43770</v>
      </c>
      <c r="F3247" s="156">
        <v>1690230.18</v>
      </c>
      <c r="G3247" s="131">
        <f t="shared" si="202"/>
        <v>302889.24825599999</v>
      </c>
      <c r="H3247" s="156">
        <v>1892.7</v>
      </c>
      <c r="I3247" s="156">
        <v>23846.6</v>
      </c>
      <c r="J3247" s="156">
        <v>0</v>
      </c>
      <c r="K3247" s="131">
        <f t="shared" si="203"/>
        <v>25739.3</v>
      </c>
      <c r="L3247" s="134">
        <v>0.1792</v>
      </c>
    </row>
    <row r="3248" spans="3:12">
      <c r="C3248" s="161">
        <f t="shared" si="201"/>
        <v>2019</v>
      </c>
      <c r="D3248" s="35" t="s">
        <v>308</v>
      </c>
      <c r="E3248" s="227">
        <v>43800</v>
      </c>
      <c r="F3248" s="156">
        <v>1476353.25</v>
      </c>
      <c r="G3248" s="131">
        <f t="shared" si="202"/>
        <v>264562.5024</v>
      </c>
      <c r="H3248" s="156">
        <v>8264.09</v>
      </c>
      <c r="I3248" s="156">
        <v>19950.84</v>
      </c>
      <c r="J3248" s="156">
        <v>2297.4899999999998</v>
      </c>
      <c r="K3248" s="131">
        <f t="shared" si="203"/>
        <v>30512.42</v>
      </c>
      <c r="L3248" s="134">
        <v>0.1792</v>
      </c>
    </row>
    <row r="3249" spans="3:12">
      <c r="C3249" s="161">
        <f t="shared" si="201"/>
        <v>2020</v>
      </c>
      <c r="D3249" s="35" t="s">
        <v>308</v>
      </c>
      <c r="E3249" s="227">
        <v>43831</v>
      </c>
      <c r="F3249" s="156">
        <v>1522815.88</v>
      </c>
      <c r="G3249" s="131">
        <f t="shared" si="202"/>
        <v>272888.60569599998</v>
      </c>
      <c r="H3249" s="156">
        <v>55919.9</v>
      </c>
      <c r="I3249" s="156">
        <v>17760.62</v>
      </c>
      <c r="J3249" s="156">
        <v>1026.2</v>
      </c>
      <c r="K3249" s="131">
        <f t="shared" si="203"/>
        <v>74706.720000000001</v>
      </c>
      <c r="L3249" s="134">
        <v>0.1792</v>
      </c>
    </row>
    <row r="3250" spans="3:12">
      <c r="C3250" s="161">
        <f t="shared" si="201"/>
        <v>2020</v>
      </c>
      <c r="D3250" s="35" t="s">
        <v>308</v>
      </c>
      <c r="E3250" s="227">
        <v>43862</v>
      </c>
      <c r="F3250" s="156">
        <v>1538529.59</v>
      </c>
      <c r="G3250" s="131">
        <f t="shared" si="202"/>
        <v>275704.50252800004</v>
      </c>
      <c r="H3250" s="156">
        <v>9753.31</v>
      </c>
      <c r="I3250" s="156">
        <v>15487.51</v>
      </c>
      <c r="J3250" s="156">
        <v>1995</v>
      </c>
      <c r="K3250" s="131">
        <f t="shared" si="203"/>
        <v>27235.82</v>
      </c>
      <c r="L3250" s="134">
        <v>0.1792</v>
      </c>
    </row>
    <row r="3251" spans="3:12">
      <c r="C3251" s="161">
        <f t="shared" si="201"/>
        <v>2020</v>
      </c>
      <c r="D3251" s="35" t="s">
        <v>308</v>
      </c>
      <c r="E3251" s="227">
        <v>43891</v>
      </c>
      <c r="F3251" s="156">
        <v>1482981.078975</v>
      </c>
      <c r="G3251" s="131">
        <f t="shared" si="202"/>
        <v>265750.20935232</v>
      </c>
      <c r="H3251" s="156">
        <v>75474.28</v>
      </c>
      <c r="I3251" s="156">
        <v>20744.53</v>
      </c>
      <c r="J3251" s="156">
        <v>0</v>
      </c>
      <c r="K3251" s="131">
        <f t="shared" si="203"/>
        <v>96218.81</v>
      </c>
      <c r="L3251" s="134">
        <v>0.1792</v>
      </c>
    </row>
    <row r="3252" spans="3:12">
      <c r="C3252" s="161">
        <f t="shared" si="201"/>
        <v>2020</v>
      </c>
      <c r="D3252" s="35" t="s">
        <v>308</v>
      </c>
      <c r="E3252" s="227">
        <v>43922</v>
      </c>
      <c r="F3252" s="156">
        <v>1547213.5387500001</v>
      </c>
      <c r="G3252" s="131">
        <f t="shared" si="202"/>
        <v>277260.66614400002</v>
      </c>
      <c r="H3252" s="156">
        <v>15034.98</v>
      </c>
      <c r="I3252" s="156">
        <v>20360.439999999999</v>
      </c>
      <c r="J3252" s="156">
        <v>0</v>
      </c>
      <c r="K3252" s="131">
        <f t="shared" si="203"/>
        <v>35395.42</v>
      </c>
      <c r="L3252" s="134">
        <v>0.1792</v>
      </c>
    </row>
    <row r="3253" spans="3:12">
      <c r="C3253" s="161">
        <f t="shared" si="201"/>
        <v>2020</v>
      </c>
      <c r="D3253" s="35" t="s">
        <v>308</v>
      </c>
      <c r="E3253" s="227">
        <v>43952</v>
      </c>
      <c r="F3253" s="156">
        <v>1425239.48</v>
      </c>
      <c r="G3253" s="131">
        <f t="shared" si="202"/>
        <v>255402.914816</v>
      </c>
      <c r="H3253" s="156">
        <v>1050.18</v>
      </c>
      <c r="I3253" s="156">
        <v>21770.65</v>
      </c>
      <c r="J3253" s="156">
        <v>0</v>
      </c>
      <c r="K3253" s="131">
        <f t="shared" si="203"/>
        <v>22820.83</v>
      </c>
      <c r="L3253" s="134">
        <v>0.1792</v>
      </c>
    </row>
    <row r="3254" spans="3:12">
      <c r="C3254" s="161">
        <f t="shared" si="201"/>
        <v>2020</v>
      </c>
      <c r="D3254" s="35" t="s">
        <v>308</v>
      </c>
      <c r="E3254" s="227">
        <v>43983</v>
      </c>
      <c r="F3254" s="156">
        <v>1429779.84</v>
      </c>
      <c r="G3254" s="131">
        <f t="shared" si="202"/>
        <v>256216.54732800002</v>
      </c>
      <c r="H3254" s="156">
        <v>12649.95</v>
      </c>
      <c r="I3254" s="156">
        <v>58938.87</v>
      </c>
      <c r="J3254" s="156">
        <v>0</v>
      </c>
      <c r="K3254" s="131">
        <f t="shared" si="203"/>
        <v>71588.820000000007</v>
      </c>
      <c r="L3254" s="134">
        <v>0.1792</v>
      </c>
    </row>
    <row r="3255" spans="3:12">
      <c r="C3255" s="161">
        <f t="shared" si="201"/>
        <v>2020</v>
      </c>
      <c r="D3255" s="35" t="s">
        <v>308</v>
      </c>
      <c r="E3255" s="227">
        <v>44013</v>
      </c>
      <c r="F3255" s="156">
        <v>1386392.08</v>
      </c>
      <c r="G3255" s="131">
        <f t="shared" si="202"/>
        <v>248441.46073600001</v>
      </c>
      <c r="H3255" s="156">
        <v>10319.950000000001</v>
      </c>
      <c r="I3255" s="156">
        <v>57565.27</v>
      </c>
      <c r="J3255" s="156">
        <v>0</v>
      </c>
      <c r="K3255" s="131">
        <f t="shared" si="203"/>
        <v>67885.22</v>
      </c>
      <c r="L3255" s="134">
        <v>0.1792</v>
      </c>
    </row>
    <row r="3256" spans="3:12">
      <c r="C3256" s="161">
        <f t="shared" si="201"/>
        <v>2020</v>
      </c>
      <c r="D3256" s="35" t="s">
        <v>308</v>
      </c>
      <c r="E3256" s="227">
        <v>44044</v>
      </c>
      <c r="F3256" s="156">
        <v>1475955.55</v>
      </c>
      <c r="G3256" s="131">
        <f t="shared" si="202"/>
        <v>264491.23456000001</v>
      </c>
      <c r="H3256" s="156">
        <v>773.89</v>
      </c>
      <c r="I3256" s="156">
        <v>295909.42</v>
      </c>
      <c r="J3256" s="156">
        <v>0</v>
      </c>
      <c r="K3256" s="131">
        <f t="shared" si="203"/>
        <v>296683.31</v>
      </c>
      <c r="L3256" s="134">
        <v>0.1792</v>
      </c>
    </row>
    <row r="3257" spans="3:12">
      <c r="C3257" s="161">
        <f t="shared" si="201"/>
        <v>2020</v>
      </c>
      <c r="D3257" s="35" t="s">
        <v>308</v>
      </c>
      <c r="E3257" s="227">
        <v>44075</v>
      </c>
      <c r="F3257" s="156">
        <v>1654540.71</v>
      </c>
      <c r="G3257" s="131">
        <f t="shared" si="202"/>
        <v>296493.69523199997</v>
      </c>
      <c r="H3257" s="156">
        <v>35293.660000000003</v>
      </c>
      <c r="I3257" s="156">
        <v>352497.32</v>
      </c>
      <c r="J3257" s="156">
        <v>0</v>
      </c>
      <c r="K3257" s="131">
        <f t="shared" si="203"/>
        <v>387790.98</v>
      </c>
      <c r="L3257" s="134">
        <v>0.1792</v>
      </c>
    </row>
    <row r="3258" spans="3:12">
      <c r="C3258" s="161">
        <f t="shared" si="201"/>
        <v>2020</v>
      </c>
      <c r="D3258" s="35" t="s">
        <v>308</v>
      </c>
      <c r="E3258" s="227">
        <v>44105</v>
      </c>
      <c r="F3258" s="156">
        <v>1699389.02</v>
      </c>
      <c r="G3258" s="131">
        <f t="shared" si="202"/>
        <v>304530.512384</v>
      </c>
      <c r="H3258" s="156">
        <v>11796.48</v>
      </c>
      <c r="I3258" s="156">
        <v>709631.24</v>
      </c>
      <c r="J3258" s="156">
        <v>0</v>
      </c>
      <c r="K3258" s="131">
        <f t="shared" si="203"/>
        <v>721427.72</v>
      </c>
      <c r="L3258" s="134">
        <v>0.1792</v>
      </c>
    </row>
    <row r="3259" spans="3:12">
      <c r="C3259" s="161">
        <f t="shared" si="201"/>
        <v>2020</v>
      </c>
      <c r="D3259" s="35" t="s">
        <v>308</v>
      </c>
      <c r="E3259" s="227">
        <v>44136</v>
      </c>
      <c r="F3259" s="156">
        <v>1589707.37</v>
      </c>
      <c r="G3259" s="131">
        <f t="shared" si="202"/>
        <v>284875.560704</v>
      </c>
      <c r="H3259" s="156">
        <v>4470.7700000000004</v>
      </c>
      <c r="I3259" s="156">
        <v>476697.4</v>
      </c>
      <c r="J3259" s="156">
        <v>0</v>
      </c>
      <c r="K3259" s="131">
        <f t="shared" si="203"/>
        <v>481168.17000000004</v>
      </c>
      <c r="L3259" s="134">
        <v>0.1792</v>
      </c>
    </row>
    <row r="3260" spans="3:12">
      <c r="C3260" s="161">
        <f t="shared" si="201"/>
        <v>2020</v>
      </c>
      <c r="D3260" s="35" t="s">
        <v>308</v>
      </c>
      <c r="E3260" s="227">
        <v>44166</v>
      </c>
      <c r="F3260" s="156">
        <v>1695869.02</v>
      </c>
      <c r="G3260" s="131">
        <f t="shared" si="202"/>
        <v>303899.72838400002</v>
      </c>
      <c r="H3260" s="156">
        <v>6843.46</v>
      </c>
      <c r="I3260" s="156">
        <v>181735.63</v>
      </c>
      <c r="J3260" s="156">
        <v>0</v>
      </c>
      <c r="K3260" s="131">
        <f t="shared" si="203"/>
        <v>188579.09</v>
      </c>
      <c r="L3260" s="134">
        <v>0.1792</v>
      </c>
    </row>
    <row r="3261" spans="3:12">
      <c r="C3261" s="161">
        <f t="shared" si="201"/>
        <v>2021</v>
      </c>
      <c r="D3261" s="35" t="s">
        <v>308</v>
      </c>
      <c r="E3261" s="227">
        <v>44197</v>
      </c>
      <c r="F3261" s="156">
        <v>1668543.82</v>
      </c>
      <c r="G3261" s="131">
        <f t="shared" si="202"/>
        <v>299003.05254400003</v>
      </c>
      <c r="H3261" s="156">
        <v>6042.23</v>
      </c>
      <c r="I3261" s="156">
        <v>374081.06</v>
      </c>
      <c r="J3261" s="156">
        <v>2254</v>
      </c>
      <c r="K3261" s="131">
        <f t="shared" si="203"/>
        <v>382377.29</v>
      </c>
      <c r="L3261" s="134">
        <v>0.1792</v>
      </c>
    </row>
    <row r="3262" spans="3:12">
      <c r="C3262" s="161">
        <f t="shared" si="201"/>
        <v>2021</v>
      </c>
      <c r="D3262" s="35" t="s">
        <v>308</v>
      </c>
      <c r="E3262" s="227">
        <v>44229</v>
      </c>
      <c r="F3262" s="156">
        <v>1568268.9</v>
      </c>
      <c r="G3262" s="131">
        <f t="shared" si="202"/>
        <v>281033.78687999997</v>
      </c>
      <c r="H3262" s="156">
        <v>5078.1400000000003</v>
      </c>
      <c r="I3262" s="156">
        <v>132474.04</v>
      </c>
      <c r="J3262" s="156">
        <v>0</v>
      </c>
      <c r="K3262" s="131">
        <f t="shared" si="203"/>
        <v>137552.18000000002</v>
      </c>
      <c r="L3262" s="134">
        <v>0.1792</v>
      </c>
    </row>
    <row r="3263" spans="3:12">
      <c r="C3263" s="161">
        <f t="shared" si="201"/>
        <v>2021</v>
      </c>
      <c r="D3263" s="35" t="s">
        <v>308</v>
      </c>
      <c r="E3263" s="227">
        <v>44258</v>
      </c>
      <c r="F3263" s="156">
        <v>1525822.38</v>
      </c>
      <c r="G3263" s="131">
        <f t="shared" si="202"/>
        <v>273427.37049599999</v>
      </c>
      <c r="H3263" s="156">
        <v>12351.65</v>
      </c>
      <c r="I3263" s="156">
        <v>61041.01</v>
      </c>
      <c r="J3263" s="156">
        <v>0</v>
      </c>
      <c r="K3263" s="131">
        <f t="shared" si="203"/>
        <v>73392.66</v>
      </c>
      <c r="L3263" s="134">
        <v>0.1792</v>
      </c>
    </row>
    <row r="3264" spans="3:12">
      <c r="C3264" s="161">
        <f t="shared" si="201"/>
        <v>2021</v>
      </c>
      <c r="D3264" s="35" t="s">
        <v>308</v>
      </c>
      <c r="E3264" s="227">
        <v>44290</v>
      </c>
      <c r="F3264" s="156">
        <v>1743011.36</v>
      </c>
      <c r="G3264" s="131">
        <f t="shared" si="202"/>
        <v>312347.63571200002</v>
      </c>
      <c r="H3264" s="156">
        <v>7174.97</v>
      </c>
      <c r="I3264" s="156">
        <v>244995.33</v>
      </c>
      <c r="J3264" s="156">
        <v>0</v>
      </c>
      <c r="K3264" s="131">
        <f t="shared" si="203"/>
        <v>252170.3</v>
      </c>
      <c r="L3264" s="134">
        <v>0.1792</v>
      </c>
    </row>
    <row r="3265" spans="3:12">
      <c r="C3265" s="161">
        <f t="shared" si="201"/>
        <v>2021</v>
      </c>
      <c r="D3265" s="35" t="s">
        <v>308</v>
      </c>
      <c r="E3265" s="227">
        <v>44321</v>
      </c>
      <c r="F3265" s="156">
        <v>1591653.74</v>
      </c>
      <c r="G3265" s="131">
        <f t="shared" si="202"/>
        <v>285224.35020799999</v>
      </c>
      <c r="H3265" s="156">
        <v>4677.76</v>
      </c>
      <c r="I3265" s="156">
        <v>24542.73</v>
      </c>
      <c r="J3265" s="156">
        <v>2080</v>
      </c>
      <c r="K3265" s="131">
        <f t="shared" si="203"/>
        <v>31300.489999999998</v>
      </c>
      <c r="L3265" s="134">
        <v>0.1792</v>
      </c>
    </row>
    <row r="3266" spans="3:12">
      <c r="C3266" s="161">
        <f t="shared" si="201"/>
        <v>2021</v>
      </c>
      <c r="D3266" s="35" t="s">
        <v>308</v>
      </c>
      <c r="E3266" s="227">
        <v>44353</v>
      </c>
      <c r="F3266" s="156">
        <v>1492527.89</v>
      </c>
      <c r="G3266" s="131">
        <f t="shared" si="202"/>
        <v>267460.99788799998</v>
      </c>
      <c r="H3266" s="156">
        <v>8938.09</v>
      </c>
      <c r="I3266" s="156">
        <v>25133.74</v>
      </c>
      <c r="J3266" s="156">
        <v>0</v>
      </c>
      <c r="K3266" s="131">
        <f t="shared" si="203"/>
        <v>34071.83</v>
      </c>
      <c r="L3266" s="134">
        <v>0.1792</v>
      </c>
    </row>
    <row r="3267" spans="3:12">
      <c r="C3267" s="161">
        <f t="shared" si="201"/>
        <v>2015</v>
      </c>
      <c r="D3267" s="35" t="s">
        <v>309</v>
      </c>
      <c r="E3267" s="227">
        <v>42309</v>
      </c>
      <c r="F3267" s="156">
        <v>63882.64</v>
      </c>
      <c r="G3267" s="131">
        <f t="shared" si="202"/>
        <v>11447.769087999999</v>
      </c>
      <c r="H3267" s="156">
        <v>485.03</v>
      </c>
      <c r="I3267" s="156">
        <v>0</v>
      </c>
      <c r="J3267" s="156">
        <v>0</v>
      </c>
      <c r="K3267" s="131">
        <f t="shared" si="203"/>
        <v>485.03</v>
      </c>
      <c r="L3267" s="134">
        <v>0.1792</v>
      </c>
    </row>
    <row r="3268" spans="3:12">
      <c r="C3268" s="161">
        <f t="shared" ref="C3268:C3331" si="204">YEAR(E3268)</f>
        <v>2015</v>
      </c>
      <c r="D3268" s="35" t="s">
        <v>309</v>
      </c>
      <c r="E3268" s="227">
        <v>42339</v>
      </c>
      <c r="F3268" s="156">
        <v>61784.480000000003</v>
      </c>
      <c r="G3268" s="131">
        <f t="shared" ref="G3268:G3331" si="205">F3268*L3268</f>
        <v>11071.778816</v>
      </c>
      <c r="H3268" s="156">
        <v>370.28</v>
      </c>
      <c r="I3268" s="156">
        <v>0</v>
      </c>
      <c r="J3268" s="156">
        <v>0</v>
      </c>
      <c r="K3268" s="131">
        <f t="shared" ref="K3268:K3331" si="206">SUM(H3268:J3268)</f>
        <v>370.28</v>
      </c>
      <c r="L3268" s="134">
        <v>0.1792</v>
      </c>
    </row>
    <row r="3269" spans="3:12">
      <c r="C3269" s="161">
        <f t="shared" si="204"/>
        <v>2016</v>
      </c>
      <c r="D3269" s="35" t="s">
        <v>309</v>
      </c>
      <c r="E3269" s="227">
        <v>42370</v>
      </c>
      <c r="F3269" s="156">
        <v>69896.89</v>
      </c>
      <c r="G3269" s="131">
        <f t="shared" si="205"/>
        <v>12525.522687999999</v>
      </c>
      <c r="H3269" s="156">
        <v>615.16</v>
      </c>
      <c r="I3269" s="156">
        <v>0</v>
      </c>
      <c r="J3269" s="156">
        <v>0</v>
      </c>
      <c r="K3269" s="131">
        <f t="shared" si="206"/>
        <v>615.16</v>
      </c>
      <c r="L3269" s="134">
        <v>0.1792</v>
      </c>
    </row>
    <row r="3270" spans="3:12">
      <c r="C3270" s="161">
        <f t="shared" si="204"/>
        <v>2016</v>
      </c>
      <c r="D3270" s="35" t="s">
        <v>309</v>
      </c>
      <c r="E3270" s="227">
        <v>42401</v>
      </c>
      <c r="F3270" s="156">
        <v>62622.18</v>
      </c>
      <c r="G3270" s="131">
        <f t="shared" si="205"/>
        <v>11221.894656</v>
      </c>
      <c r="H3270" s="156">
        <v>1091.44</v>
      </c>
      <c r="I3270" s="156">
        <v>0</v>
      </c>
      <c r="J3270" s="156">
        <v>0</v>
      </c>
      <c r="K3270" s="131">
        <f t="shared" si="206"/>
        <v>1091.44</v>
      </c>
      <c r="L3270" s="134">
        <v>0.1792</v>
      </c>
    </row>
    <row r="3271" spans="3:12">
      <c r="C3271" s="161">
        <f t="shared" si="204"/>
        <v>2016</v>
      </c>
      <c r="D3271" s="35" t="s">
        <v>309</v>
      </c>
      <c r="E3271" s="227">
        <v>42430</v>
      </c>
      <c r="F3271" s="156">
        <v>59971.94</v>
      </c>
      <c r="G3271" s="131">
        <f t="shared" si="205"/>
        <v>10746.971648000001</v>
      </c>
      <c r="H3271" s="156">
        <v>6393.12</v>
      </c>
      <c r="I3271" s="156">
        <v>0</v>
      </c>
      <c r="J3271" s="156">
        <v>0</v>
      </c>
      <c r="K3271" s="131">
        <f t="shared" si="206"/>
        <v>6393.12</v>
      </c>
      <c r="L3271" s="134">
        <v>0.1792</v>
      </c>
    </row>
    <row r="3272" spans="3:12">
      <c r="C3272" s="161">
        <f t="shared" si="204"/>
        <v>2016</v>
      </c>
      <c r="D3272" s="35" t="s">
        <v>309</v>
      </c>
      <c r="E3272" s="227">
        <v>42461</v>
      </c>
      <c r="F3272" s="156">
        <v>72373.279999999999</v>
      </c>
      <c r="G3272" s="131">
        <f t="shared" si="205"/>
        <v>12969.291776</v>
      </c>
      <c r="H3272" s="156">
        <v>151.38999999999999</v>
      </c>
      <c r="I3272" s="156">
        <v>0</v>
      </c>
      <c r="J3272" s="156">
        <v>0</v>
      </c>
      <c r="K3272" s="131">
        <f t="shared" si="206"/>
        <v>151.38999999999999</v>
      </c>
      <c r="L3272" s="134">
        <v>0.1792</v>
      </c>
    </row>
    <row r="3273" spans="3:12">
      <c r="C3273" s="161">
        <f t="shared" si="204"/>
        <v>2016</v>
      </c>
      <c r="D3273" s="35" t="s">
        <v>309</v>
      </c>
      <c r="E3273" s="227">
        <v>42491</v>
      </c>
      <c r="F3273" s="156">
        <v>68158.539999999994</v>
      </c>
      <c r="G3273" s="131">
        <f t="shared" si="205"/>
        <v>12214.010367999999</v>
      </c>
      <c r="H3273" s="156">
        <v>912.83</v>
      </c>
      <c r="I3273" s="156">
        <v>0</v>
      </c>
      <c r="J3273" s="156">
        <v>0</v>
      </c>
      <c r="K3273" s="131">
        <f t="shared" si="206"/>
        <v>912.83</v>
      </c>
      <c r="L3273" s="134">
        <v>0.1792</v>
      </c>
    </row>
    <row r="3274" spans="3:12">
      <c r="C3274" s="161">
        <f t="shared" si="204"/>
        <v>2016</v>
      </c>
      <c r="D3274" s="35" t="s">
        <v>309</v>
      </c>
      <c r="E3274" s="227">
        <v>42522</v>
      </c>
      <c r="F3274" s="156">
        <v>59424.76</v>
      </c>
      <c r="G3274" s="131">
        <f t="shared" si="205"/>
        <v>10648.916992</v>
      </c>
      <c r="H3274" s="156">
        <v>1185.02</v>
      </c>
      <c r="I3274" s="156">
        <v>0</v>
      </c>
      <c r="J3274" s="156">
        <v>7760</v>
      </c>
      <c r="K3274" s="131">
        <f t="shared" si="206"/>
        <v>8945.02</v>
      </c>
      <c r="L3274" s="134">
        <v>0.1792</v>
      </c>
    </row>
    <row r="3275" spans="3:12">
      <c r="C3275" s="161">
        <f t="shared" si="204"/>
        <v>2016</v>
      </c>
      <c r="D3275" s="35" t="s">
        <v>309</v>
      </c>
      <c r="E3275" s="227">
        <v>42552</v>
      </c>
      <c r="F3275" s="156">
        <v>65424.88</v>
      </c>
      <c r="G3275" s="131">
        <f t="shared" si="205"/>
        <v>11724.138496</v>
      </c>
      <c r="H3275" s="156">
        <v>68.75</v>
      </c>
      <c r="I3275" s="156">
        <v>0</v>
      </c>
      <c r="J3275" s="156">
        <v>4892</v>
      </c>
      <c r="K3275" s="131">
        <f t="shared" si="206"/>
        <v>4960.75</v>
      </c>
      <c r="L3275" s="134">
        <v>0.1792</v>
      </c>
    </row>
    <row r="3276" spans="3:12">
      <c r="C3276" s="161">
        <f t="shared" si="204"/>
        <v>2016</v>
      </c>
      <c r="D3276" s="35" t="s">
        <v>309</v>
      </c>
      <c r="E3276" s="227">
        <v>42583</v>
      </c>
      <c r="F3276" s="156">
        <v>68733.06</v>
      </c>
      <c r="G3276" s="131">
        <f t="shared" si="205"/>
        <v>12316.964351999999</v>
      </c>
      <c r="H3276" s="156">
        <v>94810.27</v>
      </c>
      <c r="I3276" s="156">
        <v>0</v>
      </c>
      <c r="J3276" s="156">
        <v>0</v>
      </c>
      <c r="K3276" s="131">
        <f t="shared" si="206"/>
        <v>94810.27</v>
      </c>
      <c r="L3276" s="134">
        <v>0.1792</v>
      </c>
    </row>
    <row r="3277" spans="3:12">
      <c r="C3277" s="161">
        <f t="shared" si="204"/>
        <v>2016</v>
      </c>
      <c r="D3277" s="35" t="s">
        <v>309</v>
      </c>
      <c r="E3277" s="227">
        <v>42614</v>
      </c>
      <c r="F3277" s="156">
        <v>69062.69</v>
      </c>
      <c r="G3277" s="131">
        <f t="shared" si="205"/>
        <v>12376.034048</v>
      </c>
      <c r="H3277" s="156">
        <v>425.54</v>
      </c>
      <c r="I3277" s="156">
        <v>0</v>
      </c>
      <c r="J3277" s="156">
        <v>0</v>
      </c>
      <c r="K3277" s="131">
        <f t="shared" si="206"/>
        <v>425.54</v>
      </c>
      <c r="L3277" s="134">
        <v>0.1792</v>
      </c>
    </row>
    <row r="3278" spans="3:12">
      <c r="C3278" s="161">
        <f t="shared" si="204"/>
        <v>2016</v>
      </c>
      <c r="D3278" s="35" t="s">
        <v>309</v>
      </c>
      <c r="E3278" s="227">
        <v>42644</v>
      </c>
      <c r="F3278" s="156">
        <v>71490.42</v>
      </c>
      <c r="G3278" s="131">
        <f t="shared" si="205"/>
        <v>12811.083263999999</v>
      </c>
      <c r="H3278" s="156">
        <v>18028.13</v>
      </c>
      <c r="I3278" s="156">
        <v>0</v>
      </c>
      <c r="J3278" s="156">
        <v>0</v>
      </c>
      <c r="K3278" s="131">
        <f t="shared" si="206"/>
        <v>18028.13</v>
      </c>
      <c r="L3278" s="134">
        <v>0.1792</v>
      </c>
    </row>
    <row r="3279" spans="3:12">
      <c r="C3279" s="161">
        <f t="shared" si="204"/>
        <v>2016</v>
      </c>
      <c r="D3279" s="35" t="s">
        <v>309</v>
      </c>
      <c r="E3279" s="227">
        <v>42675</v>
      </c>
      <c r="F3279" s="156">
        <v>77927.95</v>
      </c>
      <c r="G3279" s="131">
        <f t="shared" si="205"/>
        <v>13964.688639999998</v>
      </c>
      <c r="H3279" s="156">
        <v>85694.22</v>
      </c>
      <c r="I3279" s="156">
        <v>0</v>
      </c>
      <c r="J3279" s="156">
        <v>0</v>
      </c>
      <c r="K3279" s="131">
        <f t="shared" si="206"/>
        <v>85694.22</v>
      </c>
      <c r="L3279" s="134">
        <v>0.1792</v>
      </c>
    </row>
    <row r="3280" spans="3:12">
      <c r="C3280" s="161">
        <f t="shared" si="204"/>
        <v>2016</v>
      </c>
      <c r="D3280" s="35" t="s">
        <v>309</v>
      </c>
      <c r="E3280" s="227">
        <v>42705</v>
      </c>
      <c r="F3280" s="156">
        <v>77215.91</v>
      </c>
      <c r="G3280" s="131">
        <f t="shared" si="205"/>
        <v>13837.091072000001</v>
      </c>
      <c r="H3280" s="156">
        <v>560.99</v>
      </c>
      <c r="I3280" s="156">
        <v>0</v>
      </c>
      <c r="J3280" s="156">
        <v>0</v>
      </c>
      <c r="K3280" s="131">
        <f t="shared" si="206"/>
        <v>560.99</v>
      </c>
      <c r="L3280" s="134">
        <v>0.1792</v>
      </c>
    </row>
    <row r="3281" spans="3:12">
      <c r="C3281" s="161">
        <f t="shared" si="204"/>
        <v>2017</v>
      </c>
      <c r="D3281" s="35" t="s">
        <v>309</v>
      </c>
      <c r="E3281" s="227">
        <v>42736</v>
      </c>
      <c r="F3281" s="156">
        <v>77872.28</v>
      </c>
      <c r="G3281" s="131">
        <f t="shared" si="205"/>
        <v>13954.712576</v>
      </c>
      <c r="H3281" s="156">
        <v>1435.57</v>
      </c>
      <c r="I3281" s="156">
        <v>0</v>
      </c>
      <c r="J3281" s="156">
        <v>0</v>
      </c>
      <c r="K3281" s="131">
        <f t="shared" si="206"/>
        <v>1435.57</v>
      </c>
      <c r="L3281" s="134">
        <v>0.1792</v>
      </c>
    </row>
    <row r="3282" spans="3:12">
      <c r="C3282" s="161">
        <f t="shared" si="204"/>
        <v>2017</v>
      </c>
      <c r="D3282" s="35" t="s">
        <v>309</v>
      </c>
      <c r="E3282" s="227">
        <v>42767</v>
      </c>
      <c r="F3282" s="156">
        <v>75123.28</v>
      </c>
      <c r="G3282" s="131">
        <f t="shared" si="205"/>
        <v>13462.091775999999</v>
      </c>
      <c r="H3282" s="156">
        <v>90753.32</v>
      </c>
      <c r="I3282" s="156">
        <v>0</v>
      </c>
      <c r="J3282" s="156">
        <v>610</v>
      </c>
      <c r="K3282" s="131">
        <f t="shared" si="206"/>
        <v>91363.32</v>
      </c>
      <c r="L3282" s="134">
        <v>0.1792</v>
      </c>
    </row>
    <row r="3283" spans="3:12">
      <c r="C3283" s="161">
        <f t="shared" si="204"/>
        <v>2017</v>
      </c>
      <c r="D3283" s="35" t="s">
        <v>309</v>
      </c>
      <c r="E3283" s="227">
        <v>42795</v>
      </c>
      <c r="F3283" s="156">
        <v>75689.53</v>
      </c>
      <c r="G3283" s="131">
        <f t="shared" si="205"/>
        <v>13563.563775999999</v>
      </c>
      <c r="H3283" s="156">
        <v>6284.94</v>
      </c>
      <c r="I3283" s="156">
        <v>0</v>
      </c>
      <c r="J3283" s="156">
        <v>0</v>
      </c>
      <c r="K3283" s="131">
        <f t="shared" si="206"/>
        <v>6284.94</v>
      </c>
      <c r="L3283" s="134">
        <v>0.1792</v>
      </c>
    </row>
    <row r="3284" spans="3:12">
      <c r="C3284" s="161">
        <f t="shared" si="204"/>
        <v>2017</v>
      </c>
      <c r="D3284" s="35" t="s">
        <v>309</v>
      </c>
      <c r="E3284" s="227">
        <v>42826</v>
      </c>
      <c r="F3284" s="156">
        <v>65545.820000000007</v>
      </c>
      <c r="G3284" s="131">
        <f t="shared" si="205"/>
        <v>11745.810944000001</v>
      </c>
      <c r="H3284" s="156">
        <v>12585.46</v>
      </c>
      <c r="I3284" s="156">
        <v>0</v>
      </c>
      <c r="J3284" s="156">
        <v>0</v>
      </c>
      <c r="K3284" s="131">
        <f t="shared" si="206"/>
        <v>12585.46</v>
      </c>
      <c r="L3284" s="134">
        <v>0.1792</v>
      </c>
    </row>
    <row r="3285" spans="3:12">
      <c r="C3285" s="161">
        <f t="shared" si="204"/>
        <v>2017</v>
      </c>
      <c r="D3285" s="35" t="s">
        <v>309</v>
      </c>
      <c r="E3285" s="227">
        <v>42856</v>
      </c>
      <c r="F3285" s="156">
        <v>64301.43</v>
      </c>
      <c r="G3285" s="131">
        <f t="shared" si="205"/>
        <v>11522.816256</v>
      </c>
      <c r="H3285" s="156">
        <v>292.06</v>
      </c>
      <c r="I3285" s="156">
        <v>0</v>
      </c>
      <c r="J3285" s="156">
        <v>0</v>
      </c>
      <c r="K3285" s="131">
        <f t="shared" si="206"/>
        <v>292.06</v>
      </c>
      <c r="L3285" s="134">
        <v>0.1792</v>
      </c>
    </row>
    <row r="3286" spans="3:12">
      <c r="C3286" s="161">
        <f t="shared" si="204"/>
        <v>2017</v>
      </c>
      <c r="D3286" s="35" t="s">
        <v>309</v>
      </c>
      <c r="E3286" s="227">
        <v>42887</v>
      </c>
      <c r="F3286" s="156">
        <v>66506.600000000006</v>
      </c>
      <c r="G3286" s="131">
        <f t="shared" si="205"/>
        <v>11917.982720000002</v>
      </c>
      <c r="H3286" s="156">
        <v>569.17999999999995</v>
      </c>
      <c r="I3286" s="156">
        <v>0</v>
      </c>
      <c r="J3286" s="156">
        <v>0</v>
      </c>
      <c r="K3286" s="131">
        <f t="shared" si="206"/>
        <v>569.17999999999995</v>
      </c>
      <c r="L3286" s="134">
        <v>0.1792</v>
      </c>
    </row>
    <row r="3287" spans="3:12">
      <c r="C3287" s="161">
        <f t="shared" si="204"/>
        <v>2017</v>
      </c>
      <c r="D3287" s="35" t="s">
        <v>309</v>
      </c>
      <c r="E3287" s="227">
        <v>42917</v>
      </c>
      <c r="F3287" s="156">
        <v>62504.59</v>
      </c>
      <c r="G3287" s="131">
        <f t="shared" si="205"/>
        <v>11200.822527999999</v>
      </c>
      <c r="H3287" s="156">
        <v>618.78</v>
      </c>
      <c r="I3287" s="156">
        <v>0</v>
      </c>
      <c r="J3287" s="156">
        <v>0</v>
      </c>
      <c r="K3287" s="131">
        <f t="shared" si="206"/>
        <v>618.78</v>
      </c>
      <c r="L3287" s="134">
        <v>0.1792</v>
      </c>
    </row>
    <row r="3288" spans="3:12">
      <c r="C3288" s="161">
        <f t="shared" si="204"/>
        <v>2017</v>
      </c>
      <c r="D3288" s="35" t="s">
        <v>309</v>
      </c>
      <c r="E3288" s="227">
        <v>42948</v>
      </c>
      <c r="F3288" s="156">
        <v>65819.73</v>
      </c>
      <c r="G3288" s="131">
        <f t="shared" si="205"/>
        <v>11794.895616</v>
      </c>
      <c r="H3288" s="156">
        <v>270.57</v>
      </c>
      <c r="I3288" s="156">
        <v>0</v>
      </c>
      <c r="J3288" s="156">
        <v>0</v>
      </c>
      <c r="K3288" s="131">
        <f t="shared" si="206"/>
        <v>270.57</v>
      </c>
      <c r="L3288" s="134">
        <v>0.1792</v>
      </c>
    </row>
    <row r="3289" spans="3:12">
      <c r="C3289" s="161">
        <f t="shared" si="204"/>
        <v>2017</v>
      </c>
      <c r="D3289" s="35" t="s">
        <v>309</v>
      </c>
      <c r="E3289" s="227">
        <v>42979</v>
      </c>
      <c r="F3289" s="156">
        <v>75200.2</v>
      </c>
      <c r="G3289" s="131">
        <f t="shared" si="205"/>
        <v>13475.875839999999</v>
      </c>
      <c r="H3289" s="156">
        <v>267.05</v>
      </c>
      <c r="I3289" s="156">
        <v>0</v>
      </c>
      <c r="J3289" s="156">
        <v>15651.01</v>
      </c>
      <c r="K3289" s="131">
        <f t="shared" si="206"/>
        <v>15918.06</v>
      </c>
      <c r="L3289" s="134">
        <v>0.1792</v>
      </c>
    </row>
    <row r="3290" spans="3:12">
      <c r="C3290" s="161">
        <f t="shared" si="204"/>
        <v>2017</v>
      </c>
      <c r="D3290" s="35" t="s">
        <v>309</v>
      </c>
      <c r="E3290" s="227">
        <v>43009</v>
      </c>
      <c r="F3290" s="156">
        <v>77367.039999999994</v>
      </c>
      <c r="G3290" s="131">
        <f t="shared" si="205"/>
        <v>13864.173567999998</v>
      </c>
      <c r="H3290" s="156">
        <v>645.94000000000005</v>
      </c>
      <c r="I3290" s="156">
        <v>0</v>
      </c>
      <c r="J3290" s="156">
        <v>0</v>
      </c>
      <c r="K3290" s="131">
        <f t="shared" si="206"/>
        <v>645.94000000000005</v>
      </c>
      <c r="L3290" s="134">
        <v>0.1792</v>
      </c>
    </row>
    <row r="3291" spans="3:12">
      <c r="C3291" s="161">
        <f t="shared" si="204"/>
        <v>2017</v>
      </c>
      <c r="D3291" s="35" t="s">
        <v>309</v>
      </c>
      <c r="E3291" s="227">
        <v>43040</v>
      </c>
      <c r="F3291" s="156">
        <v>74643.8</v>
      </c>
      <c r="G3291" s="131">
        <f t="shared" si="205"/>
        <v>13376.168960000001</v>
      </c>
      <c r="H3291" s="156">
        <v>511.18</v>
      </c>
      <c r="I3291" s="156">
        <v>0</v>
      </c>
      <c r="J3291" s="156">
        <v>0</v>
      </c>
      <c r="K3291" s="131">
        <f t="shared" si="206"/>
        <v>511.18</v>
      </c>
      <c r="L3291" s="134">
        <v>0.1792</v>
      </c>
    </row>
    <row r="3292" spans="3:12">
      <c r="C3292" s="161">
        <f t="shared" si="204"/>
        <v>2017</v>
      </c>
      <c r="D3292" s="35" t="s">
        <v>309</v>
      </c>
      <c r="E3292" s="227">
        <v>43070</v>
      </c>
      <c r="F3292" s="156">
        <v>77978.490000000005</v>
      </c>
      <c r="G3292" s="131">
        <f t="shared" si="205"/>
        <v>13973.745408000001</v>
      </c>
      <c r="H3292" s="156">
        <v>0</v>
      </c>
      <c r="I3292" s="156">
        <v>0</v>
      </c>
      <c r="J3292" s="156">
        <v>0</v>
      </c>
      <c r="K3292" s="131">
        <f t="shared" si="206"/>
        <v>0</v>
      </c>
      <c r="L3292" s="134">
        <v>0.1792</v>
      </c>
    </row>
    <row r="3293" spans="3:12">
      <c r="C3293" s="161">
        <f t="shared" si="204"/>
        <v>2018</v>
      </c>
      <c r="D3293" s="35" t="s">
        <v>309</v>
      </c>
      <c r="E3293" s="227">
        <v>43101</v>
      </c>
      <c r="F3293" s="156">
        <v>76967.81</v>
      </c>
      <c r="G3293" s="131">
        <f t="shared" si="205"/>
        <v>13792.631551999999</v>
      </c>
      <c r="H3293" s="156">
        <v>44.64</v>
      </c>
      <c r="I3293" s="156">
        <v>0</v>
      </c>
      <c r="J3293" s="156">
        <v>0</v>
      </c>
      <c r="K3293" s="131">
        <f t="shared" si="206"/>
        <v>44.64</v>
      </c>
      <c r="L3293" s="134">
        <v>0.1792</v>
      </c>
    </row>
    <row r="3294" spans="3:12">
      <c r="C3294" s="161">
        <f t="shared" si="204"/>
        <v>2018</v>
      </c>
      <c r="D3294" s="35" t="s">
        <v>309</v>
      </c>
      <c r="E3294" s="227">
        <v>43132</v>
      </c>
      <c r="F3294" s="156">
        <v>76875.990000000005</v>
      </c>
      <c r="G3294" s="131">
        <f t="shared" si="205"/>
        <v>13776.177408000001</v>
      </c>
      <c r="H3294" s="156">
        <v>363.15</v>
      </c>
      <c r="I3294" s="156">
        <v>0</v>
      </c>
      <c r="J3294" s="156">
        <v>0</v>
      </c>
      <c r="K3294" s="131">
        <f t="shared" si="206"/>
        <v>363.15</v>
      </c>
      <c r="L3294" s="134">
        <v>0.1792</v>
      </c>
    </row>
    <row r="3295" spans="3:12">
      <c r="C3295" s="161">
        <f t="shared" si="204"/>
        <v>2018</v>
      </c>
      <c r="D3295" s="35" t="s">
        <v>309</v>
      </c>
      <c r="E3295" s="227">
        <v>43160</v>
      </c>
      <c r="F3295" s="156">
        <v>68289.509999999995</v>
      </c>
      <c r="G3295" s="131">
        <f t="shared" si="205"/>
        <v>12237.480191999999</v>
      </c>
      <c r="H3295" s="156">
        <v>164.42</v>
      </c>
      <c r="I3295" s="156">
        <v>0.01</v>
      </c>
      <c r="J3295" s="156">
        <v>0</v>
      </c>
      <c r="K3295" s="131">
        <f t="shared" si="206"/>
        <v>164.42999999999998</v>
      </c>
      <c r="L3295" s="134">
        <v>0.1792</v>
      </c>
    </row>
    <row r="3296" spans="3:12">
      <c r="C3296" s="161">
        <f t="shared" si="204"/>
        <v>2018</v>
      </c>
      <c r="D3296" s="35" t="s">
        <v>309</v>
      </c>
      <c r="E3296" s="227">
        <v>43191</v>
      </c>
      <c r="F3296" s="156">
        <v>75685.58</v>
      </c>
      <c r="G3296" s="131">
        <f t="shared" si="205"/>
        <v>13562.855936</v>
      </c>
      <c r="H3296" s="156">
        <v>1195.98</v>
      </c>
      <c r="I3296" s="156">
        <v>0</v>
      </c>
      <c r="J3296" s="156">
        <v>0</v>
      </c>
      <c r="K3296" s="131">
        <f t="shared" si="206"/>
        <v>1195.98</v>
      </c>
      <c r="L3296" s="134">
        <v>0.1792</v>
      </c>
    </row>
    <row r="3297" spans="3:12">
      <c r="C3297" s="161">
        <f t="shared" si="204"/>
        <v>2018</v>
      </c>
      <c r="D3297" s="35" t="s">
        <v>309</v>
      </c>
      <c r="E3297" s="227">
        <v>43221</v>
      </c>
      <c r="F3297" s="156">
        <v>80823.09</v>
      </c>
      <c r="G3297" s="131">
        <f t="shared" si="205"/>
        <v>14483.497727999998</v>
      </c>
      <c r="H3297" s="156">
        <v>2629.52</v>
      </c>
      <c r="I3297" s="156">
        <v>0</v>
      </c>
      <c r="J3297" s="156">
        <v>0</v>
      </c>
      <c r="K3297" s="131">
        <f t="shared" si="206"/>
        <v>2629.52</v>
      </c>
      <c r="L3297" s="134">
        <v>0.1792</v>
      </c>
    </row>
    <row r="3298" spans="3:12">
      <c r="C3298" s="161">
        <f t="shared" si="204"/>
        <v>2018</v>
      </c>
      <c r="D3298" s="35" t="s">
        <v>309</v>
      </c>
      <c r="E3298" s="227">
        <v>43252</v>
      </c>
      <c r="F3298" s="156">
        <v>72869.03</v>
      </c>
      <c r="G3298" s="131">
        <f t="shared" si="205"/>
        <v>13058.130175999999</v>
      </c>
      <c r="H3298" s="156">
        <v>10155.35</v>
      </c>
      <c r="I3298" s="156">
        <v>0</v>
      </c>
      <c r="J3298" s="156">
        <v>0</v>
      </c>
      <c r="K3298" s="131">
        <f t="shared" si="206"/>
        <v>10155.35</v>
      </c>
      <c r="L3298" s="134">
        <v>0.1792</v>
      </c>
    </row>
    <row r="3299" spans="3:12">
      <c r="C3299" s="161">
        <f t="shared" si="204"/>
        <v>2018</v>
      </c>
      <c r="D3299" s="35" t="s">
        <v>309</v>
      </c>
      <c r="E3299" s="227">
        <v>43282</v>
      </c>
      <c r="F3299" s="156">
        <v>77560.3</v>
      </c>
      <c r="G3299" s="131">
        <f t="shared" si="205"/>
        <v>13898.805760000001</v>
      </c>
      <c r="H3299" s="156">
        <v>3647.42</v>
      </c>
      <c r="I3299" s="156">
        <v>0</v>
      </c>
      <c r="J3299" s="156">
        <v>0</v>
      </c>
      <c r="K3299" s="131">
        <f t="shared" si="206"/>
        <v>3647.42</v>
      </c>
      <c r="L3299" s="134">
        <v>0.1792</v>
      </c>
    </row>
    <row r="3300" spans="3:12">
      <c r="C3300" s="161">
        <f t="shared" si="204"/>
        <v>2018</v>
      </c>
      <c r="D3300" s="35" t="s">
        <v>309</v>
      </c>
      <c r="E3300" s="227">
        <v>43313</v>
      </c>
      <c r="F3300" s="156">
        <v>78844.19</v>
      </c>
      <c r="G3300" s="131">
        <f t="shared" si="205"/>
        <v>14128.878848</v>
      </c>
      <c r="H3300" s="156">
        <v>871.6</v>
      </c>
      <c r="I3300" s="156">
        <v>0</v>
      </c>
      <c r="J3300" s="156">
        <v>0</v>
      </c>
      <c r="K3300" s="131">
        <f t="shared" si="206"/>
        <v>871.6</v>
      </c>
      <c r="L3300" s="134">
        <v>0.1792</v>
      </c>
    </row>
    <row r="3301" spans="3:12">
      <c r="C3301" s="161">
        <f t="shared" si="204"/>
        <v>2018</v>
      </c>
      <c r="D3301" s="35" t="s">
        <v>309</v>
      </c>
      <c r="E3301" s="227">
        <v>43344</v>
      </c>
      <c r="F3301" s="156">
        <v>84165</v>
      </c>
      <c r="G3301" s="131">
        <f t="shared" si="205"/>
        <v>15082.368</v>
      </c>
      <c r="H3301" s="156">
        <v>237.92</v>
      </c>
      <c r="I3301" s="156">
        <v>0</v>
      </c>
      <c r="J3301" s="156">
        <v>0</v>
      </c>
      <c r="K3301" s="131">
        <f t="shared" si="206"/>
        <v>237.92</v>
      </c>
      <c r="L3301" s="134">
        <v>0.1792</v>
      </c>
    </row>
    <row r="3302" spans="3:12">
      <c r="C3302" s="161">
        <f t="shared" si="204"/>
        <v>2018</v>
      </c>
      <c r="D3302" s="35" t="s">
        <v>309</v>
      </c>
      <c r="E3302" s="227">
        <v>43374</v>
      </c>
      <c r="F3302" s="156">
        <v>76887.490000000005</v>
      </c>
      <c r="G3302" s="131">
        <f t="shared" si="205"/>
        <v>13778.238208000001</v>
      </c>
      <c r="H3302" s="156">
        <v>450.01</v>
      </c>
      <c r="I3302" s="156">
        <v>15778.71</v>
      </c>
      <c r="J3302" s="156">
        <v>0</v>
      </c>
      <c r="K3302" s="131">
        <f t="shared" si="206"/>
        <v>16228.72</v>
      </c>
      <c r="L3302" s="134">
        <v>0.1792</v>
      </c>
    </row>
    <row r="3303" spans="3:12">
      <c r="C3303" s="161">
        <f t="shared" si="204"/>
        <v>2018</v>
      </c>
      <c r="D3303" s="35" t="s">
        <v>309</v>
      </c>
      <c r="E3303" s="227">
        <v>43405</v>
      </c>
      <c r="F3303" s="156">
        <v>81414.892349999995</v>
      </c>
      <c r="G3303" s="131">
        <f t="shared" si="205"/>
        <v>14589.548709119999</v>
      </c>
      <c r="H3303" s="156">
        <v>42.24</v>
      </c>
      <c r="I3303" s="156">
        <v>0</v>
      </c>
      <c r="J3303" s="156">
        <v>0</v>
      </c>
      <c r="K3303" s="131">
        <f t="shared" si="206"/>
        <v>42.24</v>
      </c>
      <c r="L3303" s="134">
        <v>0.1792</v>
      </c>
    </row>
    <row r="3304" spans="3:12">
      <c r="C3304" s="161">
        <f t="shared" si="204"/>
        <v>2018</v>
      </c>
      <c r="D3304" s="35" t="s">
        <v>309</v>
      </c>
      <c r="E3304" s="227">
        <v>43435</v>
      </c>
      <c r="F3304" s="156">
        <v>85600.06</v>
      </c>
      <c r="G3304" s="131">
        <f t="shared" si="205"/>
        <v>15339.530751999999</v>
      </c>
      <c r="H3304" s="156">
        <v>307.89999999999998</v>
      </c>
      <c r="I3304" s="156">
        <v>23668.06</v>
      </c>
      <c r="J3304" s="156">
        <v>0</v>
      </c>
      <c r="K3304" s="131">
        <f t="shared" si="206"/>
        <v>23975.960000000003</v>
      </c>
      <c r="L3304" s="134">
        <v>0.1792</v>
      </c>
    </row>
    <row r="3305" spans="3:12">
      <c r="C3305" s="161">
        <f t="shared" si="204"/>
        <v>2019</v>
      </c>
      <c r="D3305" s="35" t="s">
        <v>309</v>
      </c>
      <c r="E3305" s="227">
        <v>43466</v>
      </c>
      <c r="F3305" s="156">
        <v>93173.23</v>
      </c>
      <c r="G3305" s="131">
        <f t="shared" si="205"/>
        <v>16696.642816</v>
      </c>
      <c r="H3305" s="156">
        <v>687.39</v>
      </c>
      <c r="I3305" s="156">
        <v>0</v>
      </c>
      <c r="J3305" s="156">
        <v>0</v>
      </c>
      <c r="K3305" s="131">
        <f t="shared" si="206"/>
        <v>687.39</v>
      </c>
      <c r="L3305" s="134">
        <v>0.1792</v>
      </c>
    </row>
    <row r="3306" spans="3:12">
      <c r="C3306" s="161">
        <f t="shared" si="204"/>
        <v>2019</v>
      </c>
      <c r="D3306" s="35" t="s">
        <v>309</v>
      </c>
      <c r="E3306" s="227">
        <v>43497</v>
      </c>
      <c r="F3306" s="156">
        <v>82898.42</v>
      </c>
      <c r="G3306" s="131">
        <f t="shared" si="205"/>
        <v>14855.396864</v>
      </c>
      <c r="H3306" s="156">
        <v>690.33</v>
      </c>
      <c r="I3306" s="156">
        <v>23668.06</v>
      </c>
      <c r="J3306" s="156">
        <v>0</v>
      </c>
      <c r="K3306" s="131">
        <f t="shared" si="206"/>
        <v>24358.390000000003</v>
      </c>
      <c r="L3306" s="134">
        <v>0.1792</v>
      </c>
    </row>
    <row r="3307" spans="3:12">
      <c r="C3307" s="161">
        <f t="shared" si="204"/>
        <v>2019</v>
      </c>
      <c r="D3307" s="35" t="s">
        <v>309</v>
      </c>
      <c r="E3307" s="227">
        <v>43525</v>
      </c>
      <c r="F3307" s="156">
        <v>75818.240000000005</v>
      </c>
      <c r="G3307" s="131">
        <f t="shared" si="205"/>
        <v>13586.628608000001</v>
      </c>
      <c r="H3307" s="156">
        <v>312.26</v>
      </c>
      <c r="I3307" s="156">
        <v>0</v>
      </c>
      <c r="J3307" s="156">
        <v>0</v>
      </c>
      <c r="K3307" s="131">
        <f t="shared" si="206"/>
        <v>312.26</v>
      </c>
      <c r="L3307" s="134">
        <v>0.1792</v>
      </c>
    </row>
    <row r="3308" spans="3:12">
      <c r="C3308" s="161">
        <f t="shared" si="204"/>
        <v>2019</v>
      </c>
      <c r="D3308" s="35" t="s">
        <v>309</v>
      </c>
      <c r="E3308" s="227">
        <v>43556</v>
      </c>
      <c r="F3308" s="156">
        <v>81116.990000000005</v>
      </c>
      <c r="G3308" s="131">
        <f t="shared" si="205"/>
        <v>14536.164608000001</v>
      </c>
      <c r="H3308" s="156">
        <v>1011.95</v>
      </c>
      <c r="I3308" s="156">
        <v>0</v>
      </c>
      <c r="J3308" s="156">
        <v>0</v>
      </c>
      <c r="K3308" s="131">
        <f t="shared" si="206"/>
        <v>1011.95</v>
      </c>
      <c r="L3308" s="134">
        <v>0.1792</v>
      </c>
    </row>
    <row r="3309" spans="3:12">
      <c r="C3309" s="161">
        <f t="shared" si="204"/>
        <v>2019</v>
      </c>
      <c r="D3309" s="35" t="s">
        <v>309</v>
      </c>
      <c r="E3309" s="227">
        <v>43586</v>
      </c>
      <c r="F3309" s="156">
        <v>78992.81</v>
      </c>
      <c r="G3309" s="131">
        <f t="shared" si="205"/>
        <v>14155.511552</v>
      </c>
      <c r="H3309" s="156">
        <v>773.87</v>
      </c>
      <c r="I3309" s="156">
        <v>0</v>
      </c>
      <c r="J3309" s="156">
        <v>0</v>
      </c>
      <c r="K3309" s="131">
        <f t="shared" si="206"/>
        <v>773.87</v>
      </c>
      <c r="L3309" s="134">
        <v>0.1792</v>
      </c>
    </row>
    <row r="3310" spans="3:12">
      <c r="C3310" s="161">
        <f t="shared" si="204"/>
        <v>2019</v>
      </c>
      <c r="D3310" s="35" t="s">
        <v>309</v>
      </c>
      <c r="E3310" s="227">
        <v>43617</v>
      </c>
      <c r="F3310" s="156">
        <v>78000.12</v>
      </c>
      <c r="G3310" s="131">
        <f t="shared" si="205"/>
        <v>13977.621503999999</v>
      </c>
      <c r="H3310" s="156">
        <v>460</v>
      </c>
      <c r="I3310" s="156">
        <v>0</v>
      </c>
      <c r="J3310" s="156">
        <v>0</v>
      </c>
      <c r="K3310" s="131">
        <f t="shared" si="206"/>
        <v>460</v>
      </c>
      <c r="L3310" s="134">
        <v>0.1792</v>
      </c>
    </row>
    <row r="3311" spans="3:12">
      <c r="C3311" s="161">
        <f t="shared" si="204"/>
        <v>2019</v>
      </c>
      <c r="D3311" s="35" t="s">
        <v>309</v>
      </c>
      <c r="E3311" s="227">
        <v>43647</v>
      </c>
      <c r="F3311" s="156">
        <v>78171.38</v>
      </c>
      <c r="G3311" s="131">
        <f t="shared" si="205"/>
        <v>14008.311296</v>
      </c>
      <c r="H3311" s="156">
        <v>11033.79</v>
      </c>
      <c r="I3311" s="156">
        <v>15778.7</v>
      </c>
      <c r="J3311" s="156">
        <v>0</v>
      </c>
      <c r="K3311" s="131">
        <f t="shared" si="206"/>
        <v>26812.49</v>
      </c>
      <c r="L3311" s="134">
        <v>0.1792</v>
      </c>
    </row>
    <row r="3312" spans="3:12">
      <c r="C3312" s="161">
        <f t="shared" si="204"/>
        <v>2019</v>
      </c>
      <c r="D3312" s="35" t="s">
        <v>309</v>
      </c>
      <c r="E3312" s="227">
        <v>43678</v>
      </c>
      <c r="F3312" s="156">
        <v>83561.61</v>
      </c>
      <c r="G3312" s="131">
        <f t="shared" si="205"/>
        <v>14974.240512</v>
      </c>
      <c r="H3312" s="156">
        <v>1346.27</v>
      </c>
      <c r="I3312" s="156">
        <v>0</v>
      </c>
      <c r="J3312" s="156">
        <v>0</v>
      </c>
      <c r="K3312" s="131">
        <f t="shared" si="206"/>
        <v>1346.27</v>
      </c>
      <c r="L3312" s="134">
        <v>0.1792</v>
      </c>
    </row>
    <row r="3313" spans="3:12">
      <c r="C3313" s="161">
        <f t="shared" si="204"/>
        <v>2019</v>
      </c>
      <c r="D3313" s="35" t="s">
        <v>309</v>
      </c>
      <c r="E3313" s="227">
        <v>43709</v>
      </c>
      <c r="F3313" s="156">
        <v>93692.44</v>
      </c>
      <c r="G3313" s="131">
        <f t="shared" si="205"/>
        <v>16789.685248000002</v>
      </c>
      <c r="H3313" s="156">
        <v>4460.6400000000003</v>
      </c>
      <c r="I3313" s="156">
        <v>0</v>
      </c>
      <c r="J3313" s="156">
        <v>0</v>
      </c>
      <c r="K3313" s="131">
        <f t="shared" si="206"/>
        <v>4460.6400000000003</v>
      </c>
      <c r="L3313" s="134">
        <v>0.1792</v>
      </c>
    </row>
    <row r="3314" spans="3:12">
      <c r="C3314" s="161">
        <f t="shared" si="204"/>
        <v>2019</v>
      </c>
      <c r="D3314" s="35" t="s">
        <v>309</v>
      </c>
      <c r="E3314" s="227">
        <v>43739</v>
      </c>
      <c r="F3314" s="156">
        <v>89159.52</v>
      </c>
      <c r="G3314" s="131">
        <f t="shared" si="205"/>
        <v>15977.385984</v>
      </c>
      <c r="H3314" s="156">
        <v>445.97</v>
      </c>
      <c r="I3314" s="156">
        <v>0</v>
      </c>
      <c r="J3314" s="156">
        <v>0</v>
      </c>
      <c r="K3314" s="131">
        <f t="shared" si="206"/>
        <v>445.97</v>
      </c>
      <c r="L3314" s="134">
        <v>0.1792</v>
      </c>
    </row>
    <row r="3315" spans="3:12">
      <c r="C3315" s="161">
        <f t="shared" si="204"/>
        <v>2019</v>
      </c>
      <c r="D3315" s="35" t="s">
        <v>309</v>
      </c>
      <c r="E3315" s="227">
        <v>43770</v>
      </c>
      <c r="F3315" s="156">
        <v>93376.35</v>
      </c>
      <c r="G3315" s="131">
        <f t="shared" si="205"/>
        <v>16733.04192</v>
      </c>
      <c r="H3315" s="156">
        <v>204.35</v>
      </c>
      <c r="I3315" s="156">
        <v>0</v>
      </c>
      <c r="J3315" s="156">
        <v>0</v>
      </c>
      <c r="K3315" s="131">
        <f t="shared" si="206"/>
        <v>204.35</v>
      </c>
      <c r="L3315" s="134">
        <v>0.1792</v>
      </c>
    </row>
    <row r="3316" spans="3:12">
      <c r="C3316" s="161">
        <f t="shared" si="204"/>
        <v>2019</v>
      </c>
      <c r="D3316" s="35" t="s">
        <v>309</v>
      </c>
      <c r="E3316" s="227">
        <v>43800</v>
      </c>
      <c r="F3316" s="156">
        <v>87912.97</v>
      </c>
      <c r="G3316" s="131">
        <f t="shared" si="205"/>
        <v>15754.004224</v>
      </c>
      <c r="H3316" s="156">
        <v>243.09</v>
      </c>
      <c r="I3316" s="156">
        <v>0</v>
      </c>
      <c r="J3316" s="156">
        <v>0</v>
      </c>
      <c r="K3316" s="131">
        <f t="shared" si="206"/>
        <v>243.09</v>
      </c>
      <c r="L3316" s="134">
        <v>0.1792</v>
      </c>
    </row>
    <row r="3317" spans="3:12">
      <c r="C3317" s="161">
        <f t="shared" si="204"/>
        <v>2020</v>
      </c>
      <c r="D3317" s="35" t="s">
        <v>309</v>
      </c>
      <c r="E3317" s="227">
        <v>43831</v>
      </c>
      <c r="F3317" s="156">
        <v>85143.17</v>
      </c>
      <c r="G3317" s="131">
        <f t="shared" si="205"/>
        <v>15257.656063999999</v>
      </c>
      <c r="H3317" s="156">
        <v>1630.67</v>
      </c>
      <c r="I3317" s="156">
        <v>100245.73</v>
      </c>
      <c r="J3317" s="156">
        <v>0</v>
      </c>
      <c r="K3317" s="131">
        <f t="shared" si="206"/>
        <v>101876.4</v>
      </c>
      <c r="L3317" s="134">
        <v>0.1792</v>
      </c>
    </row>
    <row r="3318" spans="3:12">
      <c r="C3318" s="161">
        <f t="shared" si="204"/>
        <v>2020</v>
      </c>
      <c r="D3318" s="35" t="s">
        <v>309</v>
      </c>
      <c r="E3318" s="227">
        <v>43862</v>
      </c>
      <c r="F3318" s="156">
        <v>85484.81</v>
      </c>
      <c r="G3318" s="131">
        <f t="shared" si="205"/>
        <v>15318.877951999999</v>
      </c>
      <c r="H3318" s="156">
        <v>532.45000000000005</v>
      </c>
      <c r="I3318" s="156">
        <v>0</v>
      </c>
      <c r="J3318" s="156">
        <v>0</v>
      </c>
      <c r="K3318" s="131">
        <f t="shared" si="206"/>
        <v>532.45000000000005</v>
      </c>
      <c r="L3318" s="134">
        <v>0.1792</v>
      </c>
    </row>
    <row r="3319" spans="3:12">
      <c r="C3319" s="161">
        <f t="shared" si="204"/>
        <v>2020</v>
      </c>
      <c r="D3319" s="35" t="s">
        <v>309</v>
      </c>
      <c r="E3319" s="227">
        <v>43891</v>
      </c>
      <c r="F3319" s="156">
        <v>85026.869399999996</v>
      </c>
      <c r="G3319" s="131">
        <f t="shared" si="205"/>
        <v>15236.81499648</v>
      </c>
      <c r="H3319" s="156">
        <v>513.29</v>
      </c>
      <c r="I3319" s="156">
        <v>0</v>
      </c>
      <c r="J3319" s="156">
        <v>0</v>
      </c>
      <c r="K3319" s="131">
        <f t="shared" si="206"/>
        <v>513.29</v>
      </c>
      <c r="L3319" s="134">
        <v>0.1792</v>
      </c>
    </row>
    <row r="3320" spans="3:12">
      <c r="C3320" s="161">
        <f t="shared" si="204"/>
        <v>2020</v>
      </c>
      <c r="D3320" s="35" t="s">
        <v>309</v>
      </c>
      <c r="E3320" s="227">
        <v>43922</v>
      </c>
      <c r="F3320" s="156">
        <v>91934.959050000005</v>
      </c>
      <c r="G3320" s="131">
        <f t="shared" si="205"/>
        <v>16474.74466176</v>
      </c>
      <c r="H3320" s="156">
        <v>367.58</v>
      </c>
      <c r="I3320" s="156">
        <v>0</v>
      </c>
      <c r="J3320" s="156">
        <v>0</v>
      </c>
      <c r="K3320" s="131">
        <f t="shared" si="206"/>
        <v>367.58</v>
      </c>
      <c r="L3320" s="134">
        <v>0.1792</v>
      </c>
    </row>
    <row r="3321" spans="3:12">
      <c r="C3321" s="161">
        <f t="shared" si="204"/>
        <v>2020</v>
      </c>
      <c r="D3321" s="35" t="s">
        <v>309</v>
      </c>
      <c r="E3321" s="227">
        <v>43952</v>
      </c>
      <c r="F3321" s="156">
        <v>85077.27</v>
      </c>
      <c r="G3321" s="131">
        <f t="shared" si="205"/>
        <v>15245.846784000001</v>
      </c>
      <c r="H3321" s="156">
        <v>421.01</v>
      </c>
      <c r="I3321" s="156">
        <v>0</v>
      </c>
      <c r="J3321" s="156">
        <v>0</v>
      </c>
      <c r="K3321" s="131">
        <f t="shared" si="206"/>
        <v>421.01</v>
      </c>
      <c r="L3321" s="134">
        <v>0.1792</v>
      </c>
    </row>
    <row r="3322" spans="3:12">
      <c r="C3322" s="161">
        <f t="shared" si="204"/>
        <v>2020</v>
      </c>
      <c r="D3322" s="35" t="s">
        <v>309</v>
      </c>
      <c r="E3322" s="227">
        <v>43983</v>
      </c>
      <c r="F3322" s="156">
        <v>76031.91</v>
      </c>
      <c r="G3322" s="131">
        <f t="shared" si="205"/>
        <v>13624.918272000001</v>
      </c>
      <c r="H3322" s="156">
        <v>2387.91</v>
      </c>
      <c r="I3322" s="156">
        <v>0</v>
      </c>
      <c r="J3322" s="156">
        <v>0</v>
      </c>
      <c r="K3322" s="131">
        <f t="shared" si="206"/>
        <v>2387.91</v>
      </c>
      <c r="L3322" s="134">
        <v>0.1792</v>
      </c>
    </row>
    <row r="3323" spans="3:12">
      <c r="C3323" s="161">
        <f t="shared" si="204"/>
        <v>2020</v>
      </c>
      <c r="D3323" s="35" t="s">
        <v>309</v>
      </c>
      <c r="E3323" s="227">
        <v>44013</v>
      </c>
      <c r="F3323" s="156">
        <v>82134.73</v>
      </c>
      <c r="G3323" s="131">
        <f t="shared" si="205"/>
        <v>14718.543615999999</v>
      </c>
      <c r="H3323" s="156">
        <v>108.66</v>
      </c>
      <c r="I3323" s="156">
        <v>0</v>
      </c>
      <c r="J3323" s="156">
        <v>0</v>
      </c>
      <c r="K3323" s="131">
        <f t="shared" si="206"/>
        <v>108.66</v>
      </c>
      <c r="L3323" s="134">
        <v>0.1792</v>
      </c>
    </row>
    <row r="3324" spans="3:12">
      <c r="C3324" s="161">
        <f t="shared" si="204"/>
        <v>2020</v>
      </c>
      <c r="D3324" s="35" t="s">
        <v>309</v>
      </c>
      <c r="E3324" s="227">
        <v>44044</v>
      </c>
      <c r="F3324" s="156">
        <v>83846.600000000006</v>
      </c>
      <c r="G3324" s="131">
        <f t="shared" si="205"/>
        <v>15025.310720000001</v>
      </c>
      <c r="H3324" s="156">
        <v>493.09</v>
      </c>
      <c r="I3324" s="156">
        <v>18303.96</v>
      </c>
      <c r="J3324" s="156">
        <v>0</v>
      </c>
      <c r="K3324" s="131">
        <f t="shared" si="206"/>
        <v>18797.05</v>
      </c>
      <c r="L3324" s="134">
        <v>0.1792</v>
      </c>
    </row>
    <row r="3325" spans="3:12">
      <c r="C3325" s="161">
        <f t="shared" si="204"/>
        <v>2020</v>
      </c>
      <c r="D3325" s="35" t="s">
        <v>309</v>
      </c>
      <c r="E3325" s="227">
        <v>44075</v>
      </c>
      <c r="F3325" s="156">
        <v>85832.9</v>
      </c>
      <c r="G3325" s="131">
        <f t="shared" si="205"/>
        <v>15381.255679999998</v>
      </c>
      <c r="H3325" s="156">
        <v>715.01</v>
      </c>
      <c r="I3325" s="156">
        <v>0</v>
      </c>
      <c r="J3325" s="156">
        <v>0</v>
      </c>
      <c r="K3325" s="131">
        <f t="shared" si="206"/>
        <v>715.01</v>
      </c>
      <c r="L3325" s="134">
        <v>0.1792</v>
      </c>
    </row>
    <row r="3326" spans="3:12">
      <c r="C3326" s="161">
        <f t="shared" si="204"/>
        <v>2020</v>
      </c>
      <c r="D3326" s="35" t="s">
        <v>309</v>
      </c>
      <c r="E3326" s="227">
        <v>44105</v>
      </c>
      <c r="F3326" s="156">
        <v>98907.35</v>
      </c>
      <c r="G3326" s="131">
        <f t="shared" si="205"/>
        <v>17724.197120000001</v>
      </c>
      <c r="H3326" s="156">
        <v>166.06</v>
      </c>
      <c r="I3326" s="156">
        <v>0</v>
      </c>
      <c r="J3326" s="156">
        <v>0</v>
      </c>
      <c r="K3326" s="131">
        <f t="shared" si="206"/>
        <v>166.06</v>
      </c>
      <c r="L3326" s="134">
        <v>0.1792</v>
      </c>
    </row>
    <row r="3327" spans="3:12">
      <c r="C3327" s="161">
        <f t="shared" si="204"/>
        <v>2020</v>
      </c>
      <c r="D3327" s="35" t="s">
        <v>309</v>
      </c>
      <c r="E3327" s="227">
        <v>44136</v>
      </c>
      <c r="F3327" s="156">
        <v>86205.49</v>
      </c>
      <c r="G3327" s="131">
        <f t="shared" si="205"/>
        <v>15448.023808</v>
      </c>
      <c r="H3327" s="156">
        <v>9926.34</v>
      </c>
      <c r="I3327" s="156">
        <v>0</v>
      </c>
      <c r="J3327" s="156">
        <v>0</v>
      </c>
      <c r="K3327" s="131">
        <f t="shared" si="206"/>
        <v>9926.34</v>
      </c>
      <c r="L3327" s="134">
        <v>0.1792</v>
      </c>
    </row>
    <row r="3328" spans="3:12">
      <c r="C3328" s="161">
        <f t="shared" si="204"/>
        <v>2020</v>
      </c>
      <c r="D3328" s="35" t="s">
        <v>309</v>
      </c>
      <c r="E3328" s="227">
        <v>44166</v>
      </c>
      <c r="F3328" s="156">
        <v>86700.18</v>
      </c>
      <c r="G3328" s="131">
        <f t="shared" si="205"/>
        <v>15536.672255999998</v>
      </c>
      <c r="H3328" s="156">
        <v>486.89</v>
      </c>
      <c r="I3328" s="156">
        <v>0</v>
      </c>
      <c r="J3328" s="156">
        <v>0</v>
      </c>
      <c r="K3328" s="131">
        <f t="shared" si="206"/>
        <v>486.89</v>
      </c>
      <c r="L3328" s="134">
        <v>0.1792</v>
      </c>
    </row>
    <row r="3329" spans="3:12">
      <c r="C3329" s="161">
        <f t="shared" si="204"/>
        <v>2021</v>
      </c>
      <c r="D3329" s="35" t="s">
        <v>309</v>
      </c>
      <c r="E3329" s="227">
        <v>44197</v>
      </c>
      <c r="F3329" s="156">
        <v>92286.44</v>
      </c>
      <c r="G3329" s="131">
        <f t="shared" si="205"/>
        <v>16537.730048000001</v>
      </c>
      <c r="H3329" s="156">
        <v>0</v>
      </c>
      <c r="I3329" s="156">
        <v>0</v>
      </c>
      <c r="J3329" s="156">
        <v>0</v>
      </c>
      <c r="K3329" s="131">
        <f t="shared" si="206"/>
        <v>0</v>
      </c>
      <c r="L3329" s="134">
        <v>0.1792</v>
      </c>
    </row>
    <row r="3330" spans="3:12">
      <c r="C3330" s="161">
        <f t="shared" si="204"/>
        <v>2021</v>
      </c>
      <c r="D3330" s="35" t="s">
        <v>309</v>
      </c>
      <c r="E3330" s="227">
        <v>44229</v>
      </c>
      <c r="F3330" s="156">
        <v>83004.600000000006</v>
      </c>
      <c r="G3330" s="131">
        <f t="shared" si="205"/>
        <v>14874.42432</v>
      </c>
      <c r="H3330" s="156">
        <v>711.94</v>
      </c>
      <c r="I3330" s="156">
        <v>0</v>
      </c>
      <c r="J3330" s="156">
        <v>0</v>
      </c>
      <c r="K3330" s="131">
        <f t="shared" si="206"/>
        <v>711.94</v>
      </c>
      <c r="L3330" s="134">
        <v>0.1792</v>
      </c>
    </row>
    <row r="3331" spans="3:12">
      <c r="C3331" s="161">
        <f t="shared" si="204"/>
        <v>2021</v>
      </c>
      <c r="D3331" s="35" t="s">
        <v>309</v>
      </c>
      <c r="E3331" s="227">
        <v>44258</v>
      </c>
      <c r="F3331" s="156">
        <v>80164.33</v>
      </c>
      <c r="G3331" s="131">
        <f t="shared" si="205"/>
        <v>14365.447936</v>
      </c>
      <c r="H3331" s="156">
        <v>1077.32</v>
      </c>
      <c r="I3331" s="156">
        <v>0</v>
      </c>
      <c r="J3331" s="156">
        <v>0</v>
      </c>
      <c r="K3331" s="131">
        <f t="shared" si="206"/>
        <v>1077.32</v>
      </c>
      <c r="L3331" s="134">
        <v>0.1792</v>
      </c>
    </row>
    <row r="3332" spans="3:12">
      <c r="C3332" s="161">
        <f t="shared" ref="C3332:C3395" si="207">YEAR(E3332)</f>
        <v>2021</v>
      </c>
      <c r="D3332" s="35" t="s">
        <v>309</v>
      </c>
      <c r="E3332" s="227">
        <v>44290</v>
      </c>
      <c r="F3332" s="156">
        <v>96046.42</v>
      </c>
      <c r="G3332" s="131">
        <f t="shared" ref="G3332:G3395" si="208">F3332*L3332</f>
        <v>17211.518464000001</v>
      </c>
      <c r="H3332" s="156">
        <v>949.85</v>
      </c>
      <c r="I3332" s="156">
        <v>0</v>
      </c>
      <c r="J3332" s="156">
        <v>0</v>
      </c>
      <c r="K3332" s="131">
        <f t="shared" ref="K3332:K3395" si="209">SUM(H3332:J3332)</f>
        <v>949.85</v>
      </c>
      <c r="L3332" s="134">
        <v>0.1792</v>
      </c>
    </row>
    <row r="3333" spans="3:12">
      <c r="C3333" s="161">
        <f t="shared" si="207"/>
        <v>2021</v>
      </c>
      <c r="D3333" s="35" t="s">
        <v>309</v>
      </c>
      <c r="E3333" s="227">
        <v>44321</v>
      </c>
      <c r="F3333" s="156">
        <v>86208.55</v>
      </c>
      <c r="G3333" s="131">
        <f t="shared" si="208"/>
        <v>15448.57216</v>
      </c>
      <c r="H3333" s="156">
        <v>82.33</v>
      </c>
      <c r="I3333" s="156">
        <v>0</v>
      </c>
      <c r="J3333" s="156">
        <v>2080</v>
      </c>
      <c r="K3333" s="131">
        <f t="shared" si="209"/>
        <v>2162.33</v>
      </c>
      <c r="L3333" s="134">
        <v>0.1792</v>
      </c>
    </row>
    <row r="3334" spans="3:12">
      <c r="C3334" s="161">
        <f t="shared" si="207"/>
        <v>2021</v>
      </c>
      <c r="D3334" s="35" t="s">
        <v>309</v>
      </c>
      <c r="E3334" s="227">
        <v>44353</v>
      </c>
      <c r="F3334" s="156">
        <v>81463.06</v>
      </c>
      <c r="G3334" s="131">
        <f t="shared" si="208"/>
        <v>14598.180351999999</v>
      </c>
      <c r="H3334" s="156">
        <v>565</v>
      </c>
      <c r="I3334" s="156">
        <v>13109.49</v>
      </c>
      <c r="J3334" s="156">
        <v>0</v>
      </c>
      <c r="K3334" s="131">
        <f t="shared" si="209"/>
        <v>13674.49</v>
      </c>
      <c r="L3334" s="134">
        <v>0.1792</v>
      </c>
    </row>
    <row r="3335" spans="3:12">
      <c r="C3335" s="161">
        <f t="shared" si="207"/>
        <v>2015</v>
      </c>
      <c r="D3335" s="35" t="s">
        <v>310</v>
      </c>
      <c r="E3335" s="227">
        <v>42309</v>
      </c>
      <c r="F3335" s="156">
        <v>919649.17</v>
      </c>
      <c r="G3335" s="131">
        <f t="shared" si="208"/>
        <v>164801.131264</v>
      </c>
      <c r="H3335" s="156">
        <v>29304.12</v>
      </c>
      <c r="I3335" s="156">
        <v>108484.35</v>
      </c>
      <c r="J3335" s="156">
        <v>0</v>
      </c>
      <c r="K3335" s="131">
        <f t="shared" si="209"/>
        <v>137788.47</v>
      </c>
      <c r="L3335" s="134">
        <v>0.1792</v>
      </c>
    </row>
    <row r="3336" spans="3:12">
      <c r="C3336" s="161">
        <f t="shared" si="207"/>
        <v>2015</v>
      </c>
      <c r="D3336" s="35" t="s">
        <v>310</v>
      </c>
      <c r="E3336" s="227">
        <v>42339</v>
      </c>
      <c r="F3336" s="156">
        <v>878083.31</v>
      </c>
      <c r="G3336" s="131">
        <f t="shared" si="208"/>
        <v>157352.529152</v>
      </c>
      <c r="H3336" s="156">
        <v>12115.95</v>
      </c>
      <c r="I3336" s="156">
        <v>38587.410000000003</v>
      </c>
      <c r="J3336" s="156">
        <v>0</v>
      </c>
      <c r="K3336" s="131">
        <f t="shared" si="209"/>
        <v>50703.360000000001</v>
      </c>
      <c r="L3336" s="134">
        <v>0.1792</v>
      </c>
    </row>
    <row r="3337" spans="3:12">
      <c r="C3337" s="161">
        <f t="shared" si="207"/>
        <v>2016</v>
      </c>
      <c r="D3337" s="35" t="s">
        <v>310</v>
      </c>
      <c r="E3337" s="227">
        <v>42370</v>
      </c>
      <c r="F3337" s="156">
        <v>846056.36</v>
      </c>
      <c r="G3337" s="131">
        <f t="shared" si="208"/>
        <v>151613.29971200001</v>
      </c>
      <c r="H3337" s="156">
        <v>29694.93</v>
      </c>
      <c r="I3337" s="156">
        <v>20158.38</v>
      </c>
      <c r="J3337" s="156">
        <v>0</v>
      </c>
      <c r="K3337" s="131">
        <f t="shared" si="209"/>
        <v>49853.31</v>
      </c>
      <c r="L3337" s="134">
        <v>0.1792</v>
      </c>
    </row>
    <row r="3338" spans="3:12">
      <c r="C3338" s="161">
        <f t="shared" si="207"/>
        <v>2016</v>
      </c>
      <c r="D3338" s="35" t="s">
        <v>310</v>
      </c>
      <c r="E3338" s="227">
        <v>42401</v>
      </c>
      <c r="F3338" s="156">
        <v>867825.23</v>
      </c>
      <c r="G3338" s="131">
        <f t="shared" si="208"/>
        <v>155514.281216</v>
      </c>
      <c r="H3338" s="156">
        <v>73526.78</v>
      </c>
      <c r="I3338" s="156">
        <v>30803.41</v>
      </c>
      <c r="J3338" s="156">
        <v>0</v>
      </c>
      <c r="K3338" s="131">
        <f t="shared" si="209"/>
        <v>104330.19</v>
      </c>
      <c r="L3338" s="134">
        <v>0.1792</v>
      </c>
    </row>
    <row r="3339" spans="3:12">
      <c r="C3339" s="161">
        <f t="shared" si="207"/>
        <v>2016</v>
      </c>
      <c r="D3339" s="35" t="s">
        <v>310</v>
      </c>
      <c r="E3339" s="227">
        <v>42430</v>
      </c>
      <c r="F3339" s="156">
        <v>851021.79</v>
      </c>
      <c r="G3339" s="131">
        <f t="shared" si="208"/>
        <v>152503.10476800002</v>
      </c>
      <c r="H3339" s="156">
        <v>13711.91</v>
      </c>
      <c r="I3339" s="156">
        <v>56985.69</v>
      </c>
      <c r="J3339" s="156">
        <v>247.48</v>
      </c>
      <c r="K3339" s="131">
        <f t="shared" si="209"/>
        <v>70945.08</v>
      </c>
      <c r="L3339" s="134">
        <v>0.1792</v>
      </c>
    </row>
    <row r="3340" spans="3:12">
      <c r="C3340" s="161">
        <f t="shared" si="207"/>
        <v>2016</v>
      </c>
      <c r="D3340" s="35" t="s">
        <v>310</v>
      </c>
      <c r="E3340" s="227">
        <v>42461</v>
      </c>
      <c r="F3340" s="156">
        <v>921442.85</v>
      </c>
      <c r="G3340" s="131">
        <f t="shared" si="208"/>
        <v>165122.55872</v>
      </c>
      <c r="H3340" s="156">
        <v>142456.01999999999</v>
      </c>
      <c r="I3340" s="156">
        <v>95559.65</v>
      </c>
      <c r="J3340" s="156">
        <v>0</v>
      </c>
      <c r="K3340" s="131">
        <f t="shared" si="209"/>
        <v>238015.66999999998</v>
      </c>
      <c r="L3340" s="134">
        <v>0.1792</v>
      </c>
    </row>
    <row r="3341" spans="3:12">
      <c r="C3341" s="161">
        <f t="shared" si="207"/>
        <v>2016</v>
      </c>
      <c r="D3341" s="35" t="s">
        <v>310</v>
      </c>
      <c r="E3341" s="227">
        <v>42491</v>
      </c>
      <c r="F3341" s="156">
        <v>844818.75</v>
      </c>
      <c r="G3341" s="131">
        <f t="shared" si="208"/>
        <v>151391.51999999999</v>
      </c>
      <c r="H3341" s="156">
        <v>136891.18</v>
      </c>
      <c r="I3341" s="156">
        <v>35533.379999999997</v>
      </c>
      <c r="J3341" s="156">
        <v>0</v>
      </c>
      <c r="K3341" s="131">
        <f t="shared" si="209"/>
        <v>172424.56</v>
      </c>
      <c r="L3341" s="134">
        <v>0.1792</v>
      </c>
    </row>
    <row r="3342" spans="3:12">
      <c r="C3342" s="161">
        <f t="shared" si="207"/>
        <v>2016</v>
      </c>
      <c r="D3342" s="35" t="s">
        <v>310</v>
      </c>
      <c r="E3342" s="227">
        <v>42522</v>
      </c>
      <c r="F3342" s="156">
        <v>822206.97</v>
      </c>
      <c r="G3342" s="131">
        <f t="shared" si="208"/>
        <v>147339.48902399998</v>
      </c>
      <c r="H3342" s="156">
        <v>26629.96</v>
      </c>
      <c r="I3342" s="156">
        <v>26067.39</v>
      </c>
      <c r="J3342" s="156">
        <v>57724.65</v>
      </c>
      <c r="K3342" s="131">
        <f t="shared" si="209"/>
        <v>110422</v>
      </c>
      <c r="L3342" s="134">
        <v>0.1792</v>
      </c>
    </row>
    <row r="3343" spans="3:12">
      <c r="C3343" s="161">
        <f t="shared" si="207"/>
        <v>2016</v>
      </c>
      <c r="D3343" s="35" t="s">
        <v>310</v>
      </c>
      <c r="E3343" s="227">
        <v>42552</v>
      </c>
      <c r="F3343" s="156">
        <v>903401.61</v>
      </c>
      <c r="G3343" s="131">
        <f t="shared" si="208"/>
        <v>161889.568512</v>
      </c>
      <c r="H3343" s="156">
        <v>12041.78</v>
      </c>
      <c r="I3343" s="156">
        <v>26046.84</v>
      </c>
      <c r="J3343" s="156">
        <v>2224.83</v>
      </c>
      <c r="K3343" s="131">
        <f t="shared" si="209"/>
        <v>40313.450000000004</v>
      </c>
      <c r="L3343" s="134">
        <v>0.1792</v>
      </c>
    </row>
    <row r="3344" spans="3:12">
      <c r="C3344" s="161">
        <f t="shared" si="207"/>
        <v>2016</v>
      </c>
      <c r="D3344" s="35" t="s">
        <v>310</v>
      </c>
      <c r="E3344" s="227">
        <v>42583</v>
      </c>
      <c r="F3344" s="156">
        <v>950888.3</v>
      </c>
      <c r="G3344" s="131">
        <f t="shared" si="208"/>
        <v>170399.18336</v>
      </c>
      <c r="H3344" s="156">
        <v>9081.89</v>
      </c>
      <c r="I3344" s="156">
        <v>52296.33</v>
      </c>
      <c r="J3344" s="156">
        <v>7780.66</v>
      </c>
      <c r="K3344" s="131">
        <f t="shared" si="209"/>
        <v>69158.880000000005</v>
      </c>
      <c r="L3344" s="134">
        <v>0.1792</v>
      </c>
    </row>
    <row r="3345" spans="3:12">
      <c r="C3345" s="161">
        <f t="shared" si="207"/>
        <v>2016</v>
      </c>
      <c r="D3345" s="35" t="s">
        <v>310</v>
      </c>
      <c r="E3345" s="227">
        <v>42614</v>
      </c>
      <c r="F3345" s="156">
        <v>912249.83</v>
      </c>
      <c r="G3345" s="131">
        <f t="shared" si="208"/>
        <v>163475.169536</v>
      </c>
      <c r="H3345" s="156">
        <v>6792.13</v>
      </c>
      <c r="I3345" s="156">
        <v>249155.17</v>
      </c>
      <c r="J3345" s="156">
        <v>0</v>
      </c>
      <c r="K3345" s="131">
        <f t="shared" si="209"/>
        <v>255947.30000000002</v>
      </c>
      <c r="L3345" s="134">
        <v>0.1792</v>
      </c>
    </row>
    <row r="3346" spans="3:12">
      <c r="C3346" s="161">
        <f t="shared" si="207"/>
        <v>2016</v>
      </c>
      <c r="D3346" s="35" t="s">
        <v>310</v>
      </c>
      <c r="E3346" s="227">
        <v>42644</v>
      </c>
      <c r="F3346" s="156">
        <v>969958.18</v>
      </c>
      <c r="G3346" s="131">
        <f t="shared" si="208"/>
        <v>173816.505856</v>
      </c>
      <c r="H3346" s="156">
        <v>10056.719999999999</v>
      </c>
      <c r="I3346" s="156">
        <v>297083.27</v>
      </c>
      <c r="J3346" s="156">
        <v>17775.66</v>
      </c>
      <c r="K3346" s="131">
        <f t="shared" si="209"/>
        <v>324915.64999999997</v>
      </c>
      <c r="L3346" s="134">
        <v>0.1792</v>
      </c>
    </row>
    <row r="3347" spans="3:12">
      <c r="C3347" s="161">
        <f t="shared" si="207"/>
        <v>2016</v>
      </c>
      <c r="D3347" s="35" t="s">
        <v>310</v>
      </c>
      <c r="E3347" s="227">
        <v>42675</v>
      </c>
      <c r="F3347" s="156">
        <v>969043.78</v>
      </c>
      <c r="G3347" s="131">
        <f t="shared" si="208"/>
        <v>173652.645376</v>
      </c>
      <c r="H3347" s="156">
        <v>33438.550000000003</v>
      </c>
      <c r="I3347" s="156">
        <v>70086.880000000005</v>
      </c>
      <c r="J3347" s="156">
        <v>16546.32</v>
      </c>
      <c r="K3347" s="131">
        <f t="shared" si="209"/>
        <v>120071.75</v>
      </c>
      <c r="L3347" s="134">
        <v>0.1792</v>
      </c>
    </row>
    <row r="3348" spans="3:12">
      <c r="C3348" s="161">
        <f t="shared" si="207"/>
        <v>2016</v>
      </c>
      <c r="D3348" s="35" t="s">
        <v>310</v>
      </c>
      <c r="E3348" s="227">
        <v>42705</v>
      </c>
      <c r="F3348" s="156">
        <v>924197.7</v>
      </c>
      <c r="G3348" s="131">
        <f t="shared" si="208"/>
        <v>165616.22783999998</v>
      </c>
      <c r="H3348" s="156">
        <v>13568.12</v>
      </c>
      <c r="I3348" s="156">
        <v>49293.15</v>
      </c>
      <c r="J3348" s="156">
        <v>5352.21</v>
      </c>
      <c r="K3348" s="131">
        <f t="shared" si="209"/>
        <v>68213.48000000001</v>
      </c>
      <c r="L3348" s="134">
        <v>0.1792</v>
      </c>
    </row>
    <row r="3349" spans="3:12">
      <c r="C3349" s="161">
        <f t="shared" si="207"/>
        <v>2017</v>
      </c>
      <c r="D3349" s="35" t="s">
        <v>310</v>
      </c>
      <c r="E3349" s="227">
        <v>42736</v>
      </c>
      <c r="F3349" s="156">
        <v>950796.17</v>
      </c>
      <c r="G3349" s="131">
        <f t="shared" si="208"/>
        <v>170382.673664</v>
      </c>
      <c r="H3349" s="156">
        <v>3358.71</v>
      </c>
      <c r="I3349" s="156">
        <v>31394.95</v>
      </c>
      <c r="J3349" s="156">
        <v>7347.47</v>
      </c>
      <c r="K3349" s="131">
        <f t="shared" si="209"/>
        <v>42101.130000000005</v>
      </c>
      <c r="L3349" s="134">
        <v>0.1792</v>
      </c>
    </row>
    <row r="3350" spans="3:12">
      <c r="C3350" s="161">
        <f t="shared" si="207"/>
        <v>2017</v>
      </c>
      <c r="D3350" s="35" t="s">
        <v>310</v>
      </c>
      <c r="E3350" s="227">
        <v>42767</v>
      </c>
      <c r="F3350" s="156">
        <v>905141.27</v>
      </c>
      <c r="G3350" s="131">
        <f t="shared" si="208"/>
        <v>162201.315584</v>
      </c>
      <c r="H3350" s="156">
        <v>40510.589999999997</v>
      </c>
      <c r="I3350" s="156">
        <v>31598.83</v>
      </c>
      <c r="J3350" s="156">
        <v>1777.85</v>
      </c>
      <c r="K3350" s="131">
        <f t="shared" si="209"/>
        <v>73887.27</v>
      </c>
      <c r="L3350" s="134">
        <v>0.1792</v>
      </c>
    </row>
    <row r="3351" spans="3:12">
      <c r="C3351" s="161">
        <f t="shared" si="207"/>
        <v>2017</v>
      </c>
      <c r="D3351" s="35" t="s">
        <v>310</v>
      </c>
      <c r="E3351" s="227">
        <v>42795</v>
      </c>
      <c r="F3351" s="156">
        <v>923893.72</v>
      </c>
      <c r="G3351" s="131">
        <f t="shared" si="208"/>
        <v>165561.75462399999</v>
      </c>
      <c r="H3351" s="156">
        <v>41046.01</v>
      </c>
      <c r="I3351" s="156">
        <v>146784.01999999999</v>
      </c>
      <c r="J3351" s="156">
        <v>20402.400000000001</v>
      </c>
      <c r="K3351" s="131">
        <f t="shared" si="209"/>
        <v>208232.43</v>
      </c>
      <c r="L3351" s="134">
        <v>0.1792</v>
      </c>
    </row>
    <row r="3352" spans="3:12">
      <c r="C3352" s="161">
        <f t="shared" si="207"/>
        <v>2017</v>
      </c>
      <c r="D3352" s="35" t="s">
        <v>310</v>
      </c>
      <c r="E3352" s="227">
        <v>42826</v>
      </c>
      <c r="F3352" s="156">
        <v>920979.22</v>
      </c>
      <c r="G3352" s="131">
        <f t="shared" si="208"/>
        <v>165039.47622399998</v>
      </c>
      <c r="H3352" s="156">
        <v>22876.799999999999</v>
      </c>
      <c r="I3352" s="156">
        <v>37004.629999999997</v>
      </c>
      <c r="J3352" s="156">
        <v>0</v>
      </c>
      <c r="K3352" s="131">
        <f t="shared" si="209"/>
        <v>59881.429999999993</v>
      </c>
      <c r="L3352" s="134">
        <v>0.1792</v>
      </c>
    </row>
    <row r="3353" spans="3:12">
      <c r="C3353" s="161">
        <f t="shared" si="207"/>
        <v>2017</v>
      </c>
      <c r="D3353" s="35" t="s">
        <v>310</v>
      </c>
      <c r="E3353" s="227">
        <v>42856</v>
      </c>
      <c r="F3353" s="156">
        <v>885413.6</v>
      </c>
      <c r="G3353" s="131">
        <f t="shared" si="208"/>
        <v>158666.11711999998</v>
      </c>
      <c r="H3353" s="156">
        <v>14806.4</v>
      </c>
      <c r="I3353" s="156">
        <v>35450.6</v>
      </c>
      <c r="J3353" s="156">
        <v>943.74</v>
      </c>
      <c r="K3353" s="131">
        <f t="shared" si="209"/>
        <v>51200.74</v>
      </c>
      <c r="L3353" s="134">
        <v>0.1792</v>
      </c>
    </row>
    <row r="3354" spans="3:12">
      <c r="C3354" s="161">
        <f t="shared" si="207"/>
        <v>2017</v>
      </c>
      <c r="D3354" s="35" t="s">
        <v>310</v>
      </c>
      <c r="E3354" s="227">
        <v>42887</v>
      </c>
      <c r="F3354" s="156">
        <v>864021.89</v>
      </c>
      <c r="G3354" s="131">
        <f t="shared" si="208"/>
        <v>154832.72268800001</v>
      </c>
      <c r="H3354" s="156">
        <v>9953.34</v>
      </c>
      <c r="I3354" s="156">
        <v>66583.72</v>
      </c>
      <c r="J3354" s="156">
        <v>280</v>
      </c>
      <c r="K3354" s="131">
        <f t="shared" si="209"/>
        <v>76817.06</v>
      </c>
      <c r="L3354" s="134">
        <v>0.1792</v>
      </c>
    </row>
    <row r="3355" spans="3:12">
      <c r="C3355" s="161">
        <f t="shared" si="207"/>
        <v>2017</v>
      </c>
      <c r="D3355" s="35" t="s">
        <v>310</v>
      </c>
      <c r="E3355" s="227">
        <v>42917</v>
      </c>
      <c r="F3355" s="156">
        <v>985438.32</v>
      </c>
      <c r="G3355" s="131">
        <f t="shared" si="208"/>
        <v>176590.546944</v>
      </c>
      <c r="H3355" s="156">
        <v>5928.56</v>
      </c>
      <c r="I3355" s="156">
        <v>57594</v>
      </c>
      <c r="J3355" s="156">
        <v>0</v>
      </c>
      <c r="K3355" s="131">
        <f t="shared" si="209"/>
        <v>63522.559999999998</v>
      </c>
      <c r="L3355" s="134">
        <v>0.1792</v>
      </c>
    </row>
    <row r="3356" spans="3:12">
      <c r="C3356" s="161">
        <f t="shared" si="207"/>
        <v>2017</v>
      </c>
      <c r="D3356" s="35" t="s">
        <v>310</v>
      </c>
      <c r="E3356" s="227">
        <v>42948</v>
      </c>
      <c r="F3356" s="156">
        <v>1004941.03</v>
      </c>
      <c r="G3356" s="131">
        <f t="shared" si="208"/>
        <v>180085.43257599999</v>
      </c>
      <c r="H3356" s="156">
        <v>3706.29</v>
      </c>
      <c r="I3356" s="156">
        <v>28589.38</v>
      </c>
      <c r="J3356" s="156">
        <v>0</v>
      </c>
      <c r="K3356" s="131">
        <f t="shared" si="209"/>
        <v>32295.670000000002</v>
      </c>
      <c r="L3356" s="134">
        <v>0.1792</v>
      </c>
    </row>
    <row r="3357" spans="3:12">
      <c r="C3357" s="161">
        <f t="shared" si="207"/>
        <v>2017</v>
      </c>
      <c r="D3357" s="35" t="s">
        <v>310</v>
      </c>
      <c r="E3357" s="227">
        <v>42979</v>
      </c>
      <c r="F3357" s="156">
        <v>1032499.44</v>
      </c>
      <c r="G3357" s="131">
        <f t="shared" si="208"/>
        <v>185023.89964799999</v>
      </c>
      <c r="H3357" s="156">
        <v>3913.84</v>
      </c>
      <c r="I3357" s="156">
        <v>25790.26</v>
      </c>
      <c r="J3357" s="156">
        <v>0</v>
      </c>
      <c r="K3357" s="131">
        <f t="shared" si="209"/>
        <v>29704.1</v>
      </c>
      <c r="L3357" s="134">
        <v>0.1792</v>
      </c>
    </row>
    <row r="3358" spans="3:12">
      <c r="C3358" s="161">
        <f t="shared" si="207"/>
        <v>2017</v>
      </c>
      <c r="D3358" s="35" t="s">
        <v>310</v>
      </c>
      <c r="E3358" s="227">
        <v>43009</v>
      </c>
      <c r="F3358" s="156">
        <v>1009383.85</v>
      </c>
      <c r="G3358" s="131">
        <f t="shared" si="208"/>
        <v>180881.58591999998</v>
      </c>
      <c r="H3358" s="156">
        <v>8589.92</v>
      </c>
      <c r="I3358" s="156">
        <v>25313.56</v>
      </c>
      <c r="J3358" s="156">
        <v>0</v>
      </c>
      <c r="K3358" s="131">
        <f t="shared" si="209"/>
        <v>33903.480000000003</v>
      </c>
      <c r="L3358" s="134">
        <v>0.1792</v>
      </c>
    </row>
    <row r="3359" spans="3:12">
      <c r="C3359" s="161">
        <f t="shared" si="207"/>
        <v>2017</v>
      </c>
      <c r="D3359" s="35" t="s">
        <v>310</v>
      </c>
      <c r="E3359" s="227">
        <v>43040</v>
      </c>
      <c r="F3359" s="156">
        <v>986446.76</v>
      </c>
      <c r="G3359" s="131">
        <f t="shared" si="208"/>
        <v>176771.25939200001</v>
      </c>
      <c r="H3359" s="156">
        <v>3408.52</v>
      </c>
      <c r="I3359" s="156">
        <v>26249.46</v>
      </c>
      <c r="J3359" s="156">
        <v>0</v>
      </c>
      <c r="K3359" s="131">
        <f t="shared" si="209"/>
        <v>29657.98</v>
      </c>
      <c r="L3359" s="134">
        <v>0.1792</v>
      </c>
    </row>
    <row r="3360" spans="3:12">
      <c r="C3360" s="161">
        <f t="shared" si="207"/>
        <v>2017</v>
      </c>
      <c r="D3360" s="35" t="s">
        <v>310</v>
      </c>
      <c r="E3360" s="227">
        <v>43070</v>
      </c>
      <c r="F3360" s="156">
        <v>1008383.66</v>
      </c>
      <c r="G3360" s="131">
        <f t="shared" si="208"/>
        <v>180702.351872</v>
      </c>
      <c r="H3360" s="156">
        <v>4562.67</v>
      </c>
      <c r="I3360" s="156">
        <v>38252.519999999997</v>
      </c>
      <c r="J3360" s="156">
        <v>0</v>
      </c>
      <c r="K3360" s="131">
        <f t="shared" si="209"/>
        <v>42815.189999999995</v>
      </c>
      <c r="L3360" s="134">
        <v>0.1792</v>
      </c>
    </row>
    <row r="3361" spans="3:12">
      <c r="C3361" s="161">
        <f t="shared" si="207"/>
        <v>2018</v>
      </c>
      <c r="D3361" s="35" t="s">
        <v>310</v>
      </c>
      <c r="E3361" s="227">
        <v>43101</v>
      </c>
      <c r="F3361" s="156">
        <v>969477.76</v>
      </c>
      <c r="G3361" s="131">
        <f t="shared" si="208"/>
        <v>173730.41459199999</v>
      </c>
      <c r="H3361" s="156">
        <v>4824.2700000000004</v>
      </c>
      <c r="I3361" s="156">
        <v>16009.52</v>
      </c>
      <c r="J3361" s="156">
        <v>0</v>
      </c>
      <c r="K3361" s="131">
        <f t="shared" si="209"/>
        <v>20833.79</v>
      </c>
      <c r="L3361" s="134">
        <v>0.1792</v>
      </c>
    </row>
    <row r="3362" spans="3:12">
      <c r="C3362" s="161">
        <f t="shared" si="207"/>
        <v>2018</v>
      </c>
      <c r="D3362" s="35" t="s">
        <v>310</v>
      </c>
      <c r="E3362" s="227">
        <v>43132</v>
      </c>
      <c r="F3362" s="156">
        <v>999461.42</v>
      </c>
      <c r="G3362" s="131">
        <f t="shared" si="208"/>
        <v>179103.48646400002</v>
      </c>
      <c r="H3362" s="156">
        <v>5323.58</v>
      </c>
      <c r="I3362" s="156">
        <v>20671.37</v>
      </c>
      <c r="J3362" s="156">
        <v>0</v>
      </c>
      <c r="K3362" s="131">
        <f t="shared" si="209"/>
        <v>25994.949999999997</v>
      </c>
      <c r="L3362" s="134">
        <v>0.1792</v>
      </c>
    </row>
    <row r="3363" spans="3:12">
      <c r="C3363" s="161">
        <f t="shared" si="207"/>
        <v>2018</v>
      </c>
      <c r="D3363" s="35" t="s">
        <v>310</v>
      </c>
      <c r="E3363" s="227">
        <v>43160</v>
      </c>
      <c r="F3363" s="156">
        <v>942547.12</v>
      </c>
      <c r="G3363" s="131">
        <f t="shared" si="208"/>
        <v>168904.44390399999</v>
      </c>
      <c r="H3363" s="156">
        <v>5860.12</v>
      </c>
      <c r="I3363" s="156">
        <v>43670.86</v>
      </c>
      <c r="J3363" s="156">
        <v>0</v>
      </c>
      <c r="K3363" s="131">
        <f t="shared" si="209"/>
        <v>49530.98</v>
      </c>
      <c r="L3363" s="134">
        <v>0.1792</v>
      </c>
    </row>
    <row r="3364" spans="3:12">
      <c r="C3364" s="161">
        <f t="shared" si="207"/>
        <v>2018</v>
      </c>
      <c r="D3364" s="35" t="s">
        <v>310</v>
      </c>
      <c r="E3364" s="227">
        <v>43191</v>
      </c>
      <c r="F3364" s="156">
        <v>988426.7</v>
      </c>
      <c r="G3364" s="131">
        <f t="shared" si="208"/>
        <v>177126.06464</v>
      </c>
      <c r="H3364" s="156">
        <v>5762.8</v>
      </c>
      <c r="I3364" s="156">
        <v>38586.74</v>
      </c>
      <c r="J3364" s="156">
        <v>0</v>
      </c>
      <c r="K3364" s="131">
        <f t="shared" si="209"/>
        <v>44349.54</v>
      </c>
      <c r="L3364" s="134">
        <v>0.1792</v>
      </c>
    </row>
    <row r="3365" spans="3:12">
      <c r="C3365" s="161">
        <f t="shared" si="207"/>
        <v>2018</v>
      </c>
      <c r="D3365" s="35" t="s">
        <v>310</v>
      </c>
      <c r="E3365" s="227">
        <v>43221</v>
      </c>
      <c r="F3365" s="156">
        <v>974107.88</v>
      </c>
      <c r="G3365" s="131">
        <f t="shared" si="208"/>
        <v>174560.13209599999</v>
      </c>
      <c r="H3365" s="156">
        <v>4232.91</v>
      </c>
      <c r="I3365" s="156">
        <v>20434.32</v>
      </c>
      <c r="J3365" s="156">
        <v>7586</v>
      </c>
      <c r="K3365" s="131">
        <f t="shared" si="209"/>
        <v>32253.23</v>
      </c>
      <c r="L3365" s="134">
        <v>0.1792</v>
      </c>
    </row>
    <row r="3366" spans="3:12">
      <c r="C3366" s="161">
        <f t="shared" si="207"/>
        <v>2018</v>
      </c>
      <c r="D3366" s="35" t="s">
        <v>310</v>
      </c>
      <c r="E3366" s="227">
        <v>43252</v>
      </c>
      <c r="F3366" s="156">
        <v>1006585.26</v>
      </c>
      <c r="G3366" s="131">
        <f t="shared" si="208"/>
        <v>180380.07859200001</v>
      </c>
      <c r="H3366" s="156">
        <v>16913.79</v>
      </c>
      <c r="I3366" s="156">
        <v>21162.31</v>
      </c>
      <c r="J3366" s="156">
        <v>0</v>
      </c>
      <c r="K3366" s="131">
        <f t="shared" si="209"/>
        <v>38076.100000000006</v>
      </c>
      <c r="L3366" s="134">
        <v>0.1792</v>
      </c>
    </row>
    <row r="3367" spans="3:12">
      <c r="C3367" s="161">
        <f t="shared" si="207"/>
        <v>2018</v>
      </c>
      <c r="D3367" s="35" t="s">
        <v>310</v>
      </c>
      <c r="E3367" s="227">
        <v>43282</v>
      </c>
      <c r="F3367" s="156">
        <v>1016029.05</v>
      </c>
      <c r="G3367" s="131">
        <f t="shared" si="208"/>
        <v>182072.40575999999</v>
      </c>
      <c r="H3367" s="156">
        <v>5193.4799999999996</v>
      </c>
      <c r="I3367" s="156">
        <v>17677.2</v>
      </c>
      <c r="J3367" s="156">
        <v>1036.05</v>
      </c>
      <c r="K3367" s="131">
        <f t="shared" si="209"/>
        <v>23906.73</v>
      </c>
      <c r="L3367" s="134">
        <v>0.1792</v>
      </c>
    </row>
    <row r="3368" spans="3:12">
      <c r="C3368" s="161">
        <f t="shared" si="207"/>
        <v>2018</v>
      </c>
      <c r="D3368" s="35" t="s">
        <v>310</v>
      </c>
      <c r="E3368" s="227">
        <v>43313</v>
      </c>
      <c r="F3368" s="156">
        <v>1040910.04</v>
      </c>
      <c r="G3368" s="131">
        <f t="shared" si="208"/>
        <v>186531.079168</v>
      </c>
      <c r="H3368" s="156">
        <v>4701.03</v>
      </c>
      <c r="I3368" s="156">
        <v>20990.5</v>
      </c>
      <c r="J3368" s="156">
        <v>0</v>
      </c>
      <c r="K3368" s="131">
        <f t="shared" si="209"/>
        <v>25691.53</v>
      </c>
      <c r="L3368" s="134">
        <v>0.1792</v>
      </c>
    </row>
    <row r="3369" spans="3:12">
      <c r="C3369" s="161">
        <f t="shared" si="207"/>
        <v>2018</v>
      </c>
      <c r="D3369" s="35" t="s">
        <v>310</v>
      </c>
      <c r="E3369" s="227">
        <v>43344</v>
      </c>
      <c r="F3369" s="156">
        <v>1061492.76</v>
      </c>
      <c r="G3369" s="131">
        <f t="shared" si="208"/>
        <v>190219.502592</v>
      </c>
      <c r="H3369" s="156">
        <v>5407.19</v>
      </c>
      <c r="I3369" s="156">
        <v>27624.75</v>
      </c>
      <c r="J3369" s="156">
        <v>631.96</v>
      </c>
      <c r="K3369" s="131">
        <f t="shared" si="209"/>
        <v>33663.9</v>
      </c>
      <c r="L3369" s="134">
        <v>0.1792</v>
      </c>
    </row>
    <row r="3370" spans="3:12">
      <c r="C3370" s="161">
        <f t="shared" si="207"/>
        <v>2018</v>
      </c>
      <c r="D3370" s="35" t="s">
        <v>310</v>
      </c>
      <c r="E3370" s="227">
        <v>43374</v>
      </c>
      <c r="F3370" s="156">
        <v>1000659.37</v>
      </c>
      <c r="G3370" s="131">
        <f t="shared" si="208"/>
        <v>179318.15910399999</v>
      </c>
      <c r="H3370" s="156">
        <v>5434.44</v>
      </c>
      <c r="I3370" s="156">
        <v>15379.83</v>
      </c>
      <c r="J3370" s="156">
        <v>0</v>
      </c>
      <c r="K3370" s="131">
        <f t="shared" si="209"/>
        <v>20814.27</v>
      </c>
      <c r="L3370" s="134">
        <v>0.1792</v>
      </c>
    </row>
    <row r="3371" spans="3:12">
      <c r="C3371" s="161">
        <f t="shared" si="207"/>
        <v>2018</v>
      </c>
      <c r="D3371" s="35" t="s">
        <v>310</v>
      </c>
      <c r="E3371" s="227">
        <v>43405</v>
      </c>
      <c r="F3371" s="156">
        <v>1023448.93365</v>
      </c>
      <c r="G3371" s="131">
        <f t="shared" si="208"/>
        <v>183402.04891007999</v>
      </c>
      <c r="H3371" s="156">
        <v>3591.26</v>
      </c>
      <c r="I3371" s="156">
        <v>19576.43</v>
      </c>
      <c r="J3371" s="156">
        <v>86445</v>
      </c>
      <c r="K3371" s="131">
        <f t="shared" si="209"/>
        <v>109612.69</v>
      </c>
      <c r="L3371" s="134">
        <v>0.1792</v>
      </c>
    </row>
    <row r="3372" spans="3:12">
      <c r="C3372" s="161">
        <f t="shared" si="207"/>
        <v>2018</v>
      </c>
      <c r="D3372" s="35" t="s">
        <v>310</v>
      </c>
      <c r="E3372" s="227">
        <v>43435</v>
      </c>
      <c r="F3372" s="156">
        <v>1031515.74</v>
      </c>
      <c r="G3372" s="131">
        <f t="shared" si="208"/>
        <v>184847.620608</v>
      </c>
      <c r="H3372" s="156">
        <v>4618.3100000000004</v>
      </c>
      <c r="I3372" s="156">
        <v>16065.07</v>
      </c>
      <c r="J3372" s="156" t="s">
        <v>267</v>
      </c>
      <c r="K3372" s="131">
        <f t="shared" si="209"/>
        <v>20683.38</v>
      </c>
      <c r="L3372" s="134">
        <v>0.1792</v>
      </c>
    </row>
    <row r="3373" spans="3:12">
      <c r="C3373" s="161">
        <f t="shared" si="207"/>
        <v>2019</v>
      </c>
      <c r="D3373" s="35" t="s">
        <v>310</v>
      </c>
      <c r="E3373" s="227">
        <v>43466</v>
      </c>
      <c r="F3373" s="156">
        <v>1060219.28</v>
      </c>
      <c r="G3373" s="131">
        <f t="shared" si="208"/>
        <v>189991.294976</v>
      </c>
      <c r="H3373" s="156">
        <v>3081.57</v>
      </c>
      <c r="I3373" s="156">
        <v>319680.55</v>
      </c>
      <c r="J3373" s="156">
        <v>0</v>
      </c>
      <c r="K3373" s="131">
        <f t="shared" si="209"/>
        <v>322762.12</v>
      </c>
      <c r="L3373" s="134">
        <v>0.1792</v>
      </c>
    </row>
    <row r="3374" spans="3:12">
      <c r="C3374" s="161">
        <f t="shared" si="207"/>
        <v>2019</v>
      </c>
      <c r="D3374" s="35" t="s">
        <v>310</v>
      </c>
      <c r="E3374" s="227">
        <v>43497</v>
      </c>
      <c r="F3374" s="156">
        <v>1073408.67</v>
      </c>
      <c r="G3374" s="131">
        <f t="shared" si="208"/>
        <v>192354.83366399998</v>
      </c>
      <c r="H3374" s="156">
        <v>19380.22</v>
      </c>
      <c r="I3374" s="156">
        <v>680310</v>
      </c>
      <c r="J3374" s="156">
        <v>0.02</v>
      </c>
      <c r="K3374" s="131">
        <f t="shared" si="209"/>
        <v>699690.24</v>
      </c>
      <c r="L3374" s="134">
        <v>0.1792</v>
      </c>
    </row>
    <row r="3375" spans="3:12">
      <c r="C3375" s="161">
        <f t="shared" si="207"/>
        <v>2019</v>
      </c>
      <c r="D3375" s="35" t="s">
        <v>310</v>
      </c>
      <c r="E3375" s="227">
        <v>43525</v>
      </c>
      <c r="F3375" s="156">
        <v>923108.73</v>
      </c>
      <c r="G3375" s="131">
        <f t="shared" si="208"/>
        <v>165421.084416</v>
      </c>
      <c r="H3375" s="156">
        <v>6208</v>
      </c>
      <c r="I3375" s="156">
        <v>600536.4</v>
      </c>
      <c r="J3375" s="156">
        <v>5059.92</v>
      </c>
      <c r="K3375" s="131">
        <f t="shared" si="209"/>
        <v>611804.32000000007</v>
      </c>
      <c r="L3375" s="134">
        <v>0.1792</v>
      </c>
    </row>
    <row r="3376" spans="3:12">
      <c r="C3376" s="161">
        <f t="shared" si="207"/>
        <v>2019</v>
      </c>
      <c r="D3376" s="35" t="s">
        <v>310</v>
      </c>
      <c r="E3376" s="227">
        <v>43556</v>
      </c>
      <c r="F3376" s="156">
        <v>1015467.88</v>
      </c>
      <c r="G3376" s="131">
        <f t="shared" si="208"/>
        <v>181971.84409599999</v>
      </c>
      <c r="H3376" s="156">
        <v>11499.43</v>
      </c>
      <c r="I3376" s="156">
        <v>518051.85</v>
      </c>
      <c r="J3376" s="156">
        <v>0</v>
      </c>
      <c r="K3376" s="131">
        <f t="shared" si="209"/>
        <v>529551.28</v>
      </c>
      <c r="L3376" s="134">
        <v>0.1792</v>
      </c>
    </row>
    <row r="3377" spans="3:12">
      <c r="C3377" s="161">
        <f t="shared" si="207"/>
        <v>2019</v>
      </c>
      <c r="D3377" s="35" t="s">
        <v>310</v>
      </c>
      <c r="E3377" s="227">
        <v>43586</v>
      </c>
      <c r="F3377" s="156">
        <v>1032928.58</v>
      </c>
      <c r="G3377" s="131">
        <f t="shared" si="208"/>
        <v>185100.80153599998</v>
      </c>
      <c r="H3377" s="156">
        <v>1019478.72</v>
      </c>
      <c r="I3377" s="156">
        <v>2534449.88</v>
      </c>
      <c r="J3377" s="156">
        <v>0</v>
      </c>
      <c r="K3377" s="131">
        <f t="shared" si="209"/>
        <v>3553928.5999999996</v>
      </c>
      <c r="L3377" s="134">
        <v>0.1792</v>
      </c>
    </row>
    <row r="3378" spans="3:12">
      <c r="C3378" s="161">
        <f t="shared" si="207"/>
        <v>2019</v>
      </c>
      <c r="D3378" s="35" t="s">
        <v>310</v>
      </c>
      <c r="E3378" s="227">
        <v>43617</v>
      </c>
      <c r="F3378" s="156">
        <v>1067805.77</v>
      </c>
      <c r="G3378" s="131">
        <f t="shared" si="208"/>
        <v>191350.79398399999</v>
      </c>
      <c r="H3378" s="156">
        <v>5631.36</v>
      </c>
      <c r="I3378" s="156">
        <v>466474.99</v>
      </c>
      <c r="J3378" s="156">
        <v>0</v>
      </c>
      <c r="K3378" s="131">
        <f t="shared" si="209"/>
        <v>472106.35</v>
      </c>
      <c r="L3378" s="134">
        <v>0.1792</v>
      </c>
    </row>
    <row r="3379" spans="3:12">
      <c r="C3379" s="161">
        <f t="shared" si="207"/>
        <v>2019</v>
      </c>
      <c r="D3379" s="35" t="s">
        <v>310</v>
      </c>
      <c r="E3379" s="227">
        <v>43647</v>
      </c>
      <c r="F3379" s="156">
        <v>1091876.6399999999</v>
      </c>
      <c r="G3379" s="131">
        <f t="shared" si="208"/>
        <v>195664.29388799999</v>
      </c>
      <c r="H3379" s="156">
        <v>40071.54</v>
      </c>
      <c r="I3379" s="156">
        <v>238159.66</v>
      </c>
      <c r="J3379" s="156">
        <v>12371.59</v>
      </c>
      <c r="K3379" s="131">
        <f t="shared" si="209"/>
        <v>290602.79000000004</v>
      </c>
      <c r="L3379" s="134">
        <v>0.1792</v>
      </c>
    </row>
    <row r="3380" spans="3:12">
      <c r="C3380" s="161">
        <f t="shared" si="207"/>
        <v>2019</v>
      </c>
      <c r="D3380" s="35" t="s">
        <v>310</v>
      </c>
      <c r="E3380" s="227">
        <v>43678</v>
      </c>
      <c r="F3380" s="156">
        <v>1126254.6499999999</v>
      </c>
      <c r="G3380" s="131">
        <f t="shared" si="208"/>
        <v>201824.83327999999</v>
      </c>
      <c r="H3380" s="156">
        <v>9882.4599999999991</v>
      </c>
      <c r="I3380" s="156">
        <v>71580.240000000005</v>
      </c>
      <c r="J3380" s="156">
        <v>1740</v>
      </c>
      <c r="K3380" s="131">
        <f t="shared" si="209"/>
        <v>83202.700000000012</v>
      </c>
      <c r="L3380" s="134">
        <v>0.1792</v>
      </c>
    </row>
    <row r="3381" spans="3:12">
      <c r="C3381" s="161">
        <f t="shared" si="207"/>
        <v>2019</v>
      </c>
      <c r="D3381" s="35" t="s">
        <v>310</v>
      </c>
      <c r="E3381" s="227">
        <v>43709</v>
      </c>
      <c r="F3381" s="156">
        <v>1227428.44</v>
      </c>
      <c r="G3381" s="131">
        <f t="shared" si="208"/>
        <v>219955.17644799998</v>
      </c>
      <c r="H3381" s="156">
        <v>6185.78</v>
      </c>
      <c r="I3381" s="156">
        <v>38067.17</v>
      </c>
      <c r="J3381" s="156">
        <v>15056.52</v>
      </c>
      <c r="K3381" s="131">
        <f t="shared" si="209"/>
        <v>59309.47</v>
      </c>
      <c r="L3381" s="134">
        <v>0.1792</v>
      </c>
    </row>
    <row r="3382" spans="3:12">
      <c r="C3382" s="161">
        <f t="shared" si="207"/>
        <v>2019</v>
      </c>
      <c r="D3382" s="35" t="s">
        <v>310</v>
      </c>
      <c r="E3382" s="227">
        <v>43739</v>
      </c>
      <c r="F3382" s="156">
        <v>1145622.78</v>
      </c>
      <c r="G3382" s="131">
        <f t="shared" si="208"/>
        <v>205295.60217600001</v>
      </c>
      <c r="H3382" s="156">
        <v>4106.78</v>
      </c>
      <c r="I3382" s="156">
        <v>38962.79</v>
      </c>
      <c r="J3382" s="156">
        <v>375932.08</v>
      </c>
      <c r="K3382" s="131">
        <f t="shared" si="209"/>
        <v>419001.65</v>
      </c>
      <c r="L3382" s="134">
        <v>0.1792</v>
      </c>
    </row>
    <row r="3383" spans="3:12">
      <c r="C3383" s="161">
        <f t="shared" si="207"/>
        <v>2019</v>
      </c>
      <c r="D3383" s="35" t="s">
        <v>310</v>
      </c>
      <c r="E3383" s="227">
        <v>43770</v>
      </c>
      <c r="F3383" s="156">
        <v>1229314.92</v>
      </c>
      <c r="G3383" s="131">
        <f t="shared" si="208"/>
        <v>220293.23366399997</v>
      </c>
      <c r="H3383" s="156">
        <v>4068.89</v>
      </c>
      <c r="I3383" s="156">
        <v>41113.14</v>
      </c>
      <c r="J3383" s="156">
        <v>1331</v>
      </c>
      <c r="K3383" s="131">
        <f t="shared" si="209"/>
        <v>46513.03</v>
      </c>
      <c r="L3383" s="134">
        <v>0.1792</v>
      </c>
    </row>
    <row r="3384" spans="3:12">
      <c r="C3384" s="161">
        <f t="shared" si="207"/>
        <v>2019</v>
      </c>
      <c r="D3384" s="35" t="s">
        <v>310</v>
      </c>
      <c r="E3384" s="227">
        <v>43800</v>
      </c>
      <c r="F3384" s="156">
        <v>1113641.3400000001</v>
      </c>
      <c r="G3384" s="131">
        <f t="shared" si="208"/>
        <v>199564.52812800001</v>
      </c>
      <c r="H3384" s="156">
        <v>3334.28</v>
      </c>
      <c r="I3384" s="156">
        <v>35319.480000000003</v>
      </c>
      <c r="J3384" s="156">
        <v>0</v>
      </c>
      <c r="K3384" s="131">
        <f t="shared" si="209"/>
        <v>38653.760000000002</v>
      </c>
      <c r="L3384" s="134">
        <v>0.1792</v>
      </c>
    </row>
    <row r="3385" spans="3:12">
      <c r="C3385" s="161">
        <f t="shared" si="207"/>
        <v>2020</v>
      </c>
      <c r="D3385" s="35" t="s">
        <v>310</v>
      </c>
      <c r="E3385" s="227">
        <v>43831</v>
      </c>
      <c r="F3385" s="156">
        <v>1090933.29</v>
      </c>
      <c r="G3385" s="131">
        <f t="shared" si="208"/>
        <v>195495.24556800001</v>
      </c>
      <c r="H3385" s="156">
        <v>6416.25</v>
      </c>
      <c r="I3385" s="156">
        <v>52532.32</v>
      </c>
      <c r="J3385" s="156">
        <v>0</v>
      </c>
      <c r="K3385" s="131">
        <f t="shared" si="209"/>
        <v>58948.57</v>
      </c>
      <c r="L3385" s="134">
        <v>0.1792</v>
      </c>
    </row>
    <row r="3386" spans="3:12">
      <c r="C3386" s="161">
        <f t="shared" si="207"/>
        <v>2020</v>
      </c>
      <c r="D3386" s="35" t="s">
        <v>310</v>
      </c>
      <c r="E3386" s="227">
        <v>43862</v>
      </c>
      <c r="F3386" s="156">
        <v>1139820.81</v>
      </c>
      <c r="G3386" s="131">
        <f t="shared" si="208"/>
        <v>204255.88915200002</v>
      </c>
      <c r="H3386" s="156">
        <v>48263.17</v>
      </c>
      <c r="I3386" s="156">
        <v>38974.35</v>
      </c>
      <c r="J3386" s="156">
        <v>1995</v>
      </c>
      <c r="K3386" s="131">
        <f t="shared" si="209"/>
        <v>89232.51999999999</v>
      </c>
      <c r="L3386" s="134">
        <v>0.1792</v>
      </c>
    </row>
    <row r="3387" spans="3:12">
      <c r="C3387" s="161">
        <f t="shared" si="207"/>
        <v>2020</v>
      </c>
      <c r="D3387" s="35" t="s">
        <v>310</v>
      </c>
      <c r="E3387" s="227">
        <v>43891</v>
      </c>
      <c r="F3387" s="156">
        <v>1088037.7323749999</v>
      </c>
      <c r="G3387" s="131">
        <f t="shared" si="208"/>
        <v>194976.36164159997</v>
      </c>
      <c r="H3387" s="156">
        <v>66293.210000000006</v>
      </c>
      <c r="I3387" s="156">
        <v>48708.44</v>
      </c>
      <c r="J3387" s="156">
        <v>0</v>
      </c>
      <c r="K3387" s="131">
        <f t="shared" si="209"/>
        <v>115001.65000000001</v>
      </c>
      <c r="L3387" s="134">
        <v>0.1792</v>
      </c>
    </row>
    <row r="3388" spans="3:12">
      <c r="C3388" s="161">
        <f t="shared" si="207"/>
        <v>2020</v>
      </c>
      <c r="D3388" s="35" t="s">
        <v>310</v>
      </c>
      <c r="E3388" s="227">
        <v>43922</v>
      </c>
      <c r="F3388" s="156">
        <v>1165040.3506499999</v>
      </c>
      <c r="G3388" s="131">
        <f t="shared" si="208"/>
        <v>208775.23083647998</v>
      </c>
      <c r="H3388" s="156">
        <v>10303.98</v>
      </c>
      <c r="I3388" s="156">
        <v>38183.760000000002</v>
      </c>
      <c r="J3388" s="156">
        <v>0</v>
      </c>
      <c r="K3388" s="131">
        <f t="shared" si="209"/>
        <v>48487.740000000005</v>
      </c>
      <c r="L3388" s="134">
        <v>0.1792</v>
      </c>
    </row>
    <row r="3389" spans="3:12">
      <c r="C3389" s="161">
        <f t="shared" si="207"/>
        <v>2020</v>
      </c>
      <c r="D3389" s="35" t="s">
        <v>310</v>
      </c>
      <c r="E3389" s="227">
        <v>43952</v>
      </c>
      <c r="F3389" s="156">
        <v>1099406.47</v>
      </c>
      <c r="G3389" s="131">
        <f t="shared" si="208"/>
        <v>197013.63942399999</v>
      </c>
      <c r="H3389" s="156">
        <v>15749.46</v>
      </c>
      <c r="I3389" s="156">
        <v>36333.46</v>
      </c>
      <c r="J3389" s="156">
        <v>0</v>
      </c>
      <c r="K3389" s="131">
        <f t="shared" si="209"/>
        <v>52082.92</v>
      </c>
      <c r="L3389" s="134">
        <v>0.1792</v>
      </c>
    </row>
    <row r="3390" spans="3:12">
      <c r="C3390" s="161">
        <f t="shared" si="207"/>
        <v>2020</v>
      </c>
      <c r="D3390" s="35" t="s">
        <v>310</v>
      </c>
      <c r="E3390" s="227">
        <v>43983</v>
      </c>
      <c r="F3390" s="156">
        <v>1117349.6499999999</v>
      </c>
      <c r="G3390" s="131">
        <f t="shared" si="208"/>
        <v>200229.05727999998</v>
      </c>
      <c r="H3390" s="156">
        <v>17924.939999999999</v>
      </c>
      <c r="I3390" s="156">
        <v>285022.34000000003</v>
      </c>
      <c r="J3390" s="156">
        <v>0</v>
      </c>
      <c r="K3390" s="131">
        <f t="shared" si="209"/>
        <v>302947.28000000003</v>
      </c>
      <c r="L3390" s="134">
        <v>0.1792</v>
      </c>
    </row>
    <row r="3391" spans="3:12">
      <c r="C3391" s="161">
        <f t="shared" si="207"/>
        <v>2020</v>
      </c>
      <c r="D3391" s="35" t="s">
        <v>310</v>
      </c>
      <c r="E3391" s="227">
        <v>44013</v>
      </c>
      <c r="F3391" s="156">
        <v>1110678.1200000001</v>
      </c>
      <c r="G3391" s="131">
        <f t="shared" si="208"/>
        <v>199033.51910400001</v>
      </c>
      <c r="H3391" s="156">
        <v>3974.39</v>
      </c>
      <c r="I3391" s="156">
        <v>146821.48000000001</v>
      </c>
      <c r="J3391" s="156">
        <v>663.7</v>
      </c>
      <c r="K3391" s="131">
        <f t="shared" si="209"/>
        <v>151459.57000000004</v>
      </c>
      <c r="L3391" s="134">
        <v>0.1792</v>
      </c>
    </row>
    <row r="3392" spans="3:12">
      <c r="C3392" s="161">
        <f t="shared" si="207"/>
        <v>2020</v>
      </c>
      <c r="D3392" s="35" t="s">
        <v>310</v>
      </c>
      <c r="E3392" s="227">
        <v>44044</v>
      </c>
      <c r="F3392" s="156">
        <v>1206592.23</v>
      </c>
      <c r="G3392" s="131">
        <f t="shared" si="208"/>
        <v>216221.327616</v>
      </c>
      <c r="H3392" s="156">
        <v>13662.31</v>
      </c>
      <c r="I3392" s="156">
        <v>293904.52</v>
      </c>
      <c r="J3392" s="156">
        <v>0</v>
      </c>
      <c r="K3392" s="131">
        <f t="shared" si="209"/>
        <v>307566.83</v>
      </c>
      <c r="L3392" s="134">
        <v>0.1792</v>
      </c>
    </row>
    <row r="3393" spans="3:12">
      <c r="C3393" s="161">
        <f t="shared" si="207"/>
        <v>2020</v>
      </c>
      <c r="D3393" s="35" t="s">
        <v>310</v>
      </c>
      <c r="E3393" s="227">
        <v>44075</v>
      </c>
      <c r="F3393" s="156">
        <v>1318547</v>
      </c>
      <c r="G3393" s="131">
        <f t="shared" si="208"/>
        <v>236283.62239999999</v>
      </c>
      <c r="H3393" s="156">
        <v>24178.51</v>
      </c>
      <c r="I3393" s="156">
        <v>217451.75</v>
      </c>
      <c r="J3393" s="156">
        <v>0</v>
      </c>
      <c r="K3393" s="131">
        <f t="shared" si="209"/>
        <v>241630.26</v>
      </c>
      <c r="L3393" s="134">
        <v>0.1792</v>
      </c>
    </row>
    <row r="3394" spans="3:12">
      <c r="C3394" s="161">
        <f t="shared" si="207"/>
        <v>2020</v>
      </c>
      <c r="D3394" s="35" t="s">
        <v>310</v>
      </c>
      <c r="E3394" s="227">
        <v>44105</v>
      </c>
      <c r="F3394" s="156">
        <v>1412505.48</v>
      </c>
      <c r="G3394" s="131">
        <f t="shared" si="208"/>
        <v>253120.98201599999</v>
      </c>
      <c r="H3394" s="156">
        <v>131693.75</v>
      </c>
      <c r="I3394" s="156">
        <v>675289.45</v>
      </c>
      <c r="J3394" s="156">
        <v>0</v>
      </c>
      <c r="K3394" s="131">
        <f t="shared" si="209"/>
        <v>806983.2</v>
      </c>
      <c r="L3394" s="134">
        <v>0.1792</v>
      </c>
    </row>
    <row r="3395" spans="3:12">
      <c r="C3395" s="161">
        <f t="shared" si="207"/>
        <v>2020</v>
      </c>
      <c r="D3395" s="35" t="s">
        <v>310</v>
      </c>
      <c r="E3395" s="227">
        <v>44136</v>
      </c>
      <c r="F3395" s="156">
        <v>1231308.51</v>
      </c>
      <c r="G3395" s="131">
        <f t="shared" si="208"/>
        <v>220650.48499200001</v>
      </c>
      <c r="H3395" s="156">
        <v>15641.19</v>
      </c>
      <c r="I3395" s="156">
        <v>188698.18</v>
      </c>
      <c r="J3395" s="156">
        <v>0</v>
      </c>
      <c r="K3395" s="131">
        <f t="shared" si="209"/>
        <v>204339.37</v>
      </c>
      <c r="L3395" s="134">
        <v>0.1792</v>
      </c>
    </row>
    <row r="3396" spans="3:12">
      <c r="C3396" s="161">
        <f t="shared" ref="C3396:C3459" si="210">YEAR(E3396)</f>
        <v>2020</v>
      </c>
      <c r="D3396" s="35" t="s">
        <v>310</v>
      </c>
      <c r="E3396" s="227">
        <v>44166</v>
      </c>
      <c r="F3396" s="156">
        <v>1234549.71</v>
      </c>
      <c r="G3396" s="131">
        <f t="shared" ref="G3396:G3459" si="211">F3396*L3396</f>
        <v>221231.308032</v>
      </c>
      <c r="H3396" s="156">
        <v>6191.82</v>
      </c>
      <c r="I3396" s="156">
        <v>184624.03</v>
      </c>
      <c r="J3396" s="156">
        <v>1952.22</v>
      </c>
      <c r="K3396" s="131">
        <f t="shared" ref="K3396:K3459" si="212">SUM(H3396:J3396)</f>
        <v>192768.07</v>
      </c>
      <c r="L3396" s="134">
        <v>0.1792</v>
      </c>
    </row>
    <row r="3397" spans="3:12">
      <c r="C3397" s="161">
        <f t="shared" si="210"/>
        <v>2021</v>
      </c>
      <c r="D3397" s="35" t="s">
        <v>310</v>
      </c>
      <c r="E3397" s="227">
        <v>44197</v>
      </c>
      <c r="F3397" s="156">
        <v>1230401.8999999999</v>
      </c>
      <c r="G3397" s="131">
        <f t="shared" si="211"/>
        <v>220488.02047999998</v>
      </c>
      <c r="H3397" s="156">
        <v>1262.56</v>
      </c>
      <c r="I3397" s="156">
        <v>162879.99</v>
      </c>
      <c r="J3397" s="156">
        <v>1465.52</v>
      </c>
      <c r="K3397" s="131">
        <f t="shared" si="212"/>
        <v>165608.06999999998</v>
      </c>
      <c r="L3397" s="134">
        <v>0.1792</v>
      </c>
    </row>
    <row r="3398" spans="3:12">
      <c r="C3398" s="161">
        <f t="shared" si="210"/>
        <v>2021</v>
      </c>
      <c r="D3398" s="35" t="s">
        <v>310</v>
      </c>
      <c r="E3398" s="227">
        <v>44229</v>
      </c>
      <c r="F3398" s="156">
        <v>1173085.28</v>
      </c>
      <c r="G3398" s="131">
        <f t="shared" si="211"/>
        <v>210216.88217600001</v>
      </c>
      <c r="H3398" s="156">
        <v>27370.82</v>
      </c>
      <c r="I3398" s="156">
        <v>136850.01</v>
      </c>
      <c r="J3398" s="156">
        <v>1225</v>
      </c>
      <c r="K3398" s="131">
        <f t="shared" si="212"/>
        <v>165445.83000000002</v>
      </c>
      <c r="L3398" s="134">
        <v>0.1792</v>
      </c>
    </row>
    <row r="3399" spans="3:12">
      <c r="C3399" s="161">
        <f t="shared" si="210"/>
        <v>2021</v>
      </c>
      <c r="D3399" s="35" t="s">
        <v>310</v>
      </c>
      <c r="E3399" s="227">
        <v>44258</v>
      </c>
      <c r="F3399" s="156">
        <v>1129663.6599999999</v>
      </c>
      <c r="G3399" s="131">
        <f t="shared" si="211"/>
        <v>202435.72787199999</v>
      </c>
      <c r="H3399" s="156">
        <v>14198.12</v>
      </c>
      <c r="I3399" s="156">
        <v>209746.04</v>
      </c>
      <c r="J3399" s="156">
        <v>0</v>
      </c>
      <c r="K3399" s="131">
        <f t="shared" si="212"/>
        <v>223944.16</v>
      </c>
      <c r="L3399" s="134">
        <v>0.1792</v>
      </c>
    </row>
    <row r="3400" spans="3:12">
      <c r="C3400" s="161">
        <f t="shared" si="210"/>
        <v>2021</v>
      </c>
      <c r="D3400" s="35" t="s">
        <v>310</v>
      </c>
      <c r="E3400" s="227">
        <v>44290</v>
      </c>
      <c r="F3400" s="156">
        <v>1249833.97</v>
      </c>
      <c r="G3400" s="131">
        <f t="shared" si="211"/>
        <v>223970.247424</v>
      </c>
      <c r="H3400" s="156">
        <v>26594.89</v>
      </c>
      <c r="I3400" s="156">
        <v>152416.32000000001</v>
      </c>
      <c r="J3400" s="156">
        <v>0</v>
      </c>
      <c r="K3400" s="131">
        <f t="shared" si="212"/>
        <v>179011.21000000002</v>
      </c>
      <c r="L3400" s="134">
        <v>0.1792</v>
      </c>
    </row>
    <row r="3401" spans="3:12">
      <c r="C3401" s="161">
        <f t="shared" si="210"/>
        <v>2021</v>
      </c>
      <c r="D3401" s="35" t="s">
        <v>310</v>
      </c>
      <c r="E3401" s="227">
        <v>44321</v>
      </c>
      <c r="F3401" s="156">
        <v>1148808.8</v>
      </c>
      <c r="G3401" s="131">
        <f t="shared" si="211"/>
        <v>205866.53696</v>
      </c>
      <c r="H3401" s="156">
        <v>2531.9699999999998</v>
      </c>
      <c r="I3401" s="156">
        <v>33575.22</v>
      </c>
      <c r="J3401" s="156">
        <v>0</v>
      </c>
      <c r="K3401" s="131">
        <f t="shared" si="212"/>
        <v>36107.19</v>
      </c>
      <c r="L3401" s="134">
        <v>0.1792</v>
      </c>
    </row>
    <row r="3402" spans="3:12">
      <c r="C3402" s="161">
        <f t="shared" si="210"/>
        <v>2021</v>
      </c>
      <c r="D3402" s="35" t="s">
        <v>310</v>
      </c>
      <c r="E3402" s="227">
        <v>44353</v>
      </c>
      <c r="F3402" s="156">
        <v>1153641.78</v>
      </c>
      <c r="G3402" s="131">
        <f t="shared" si="211"/>
        <v>206732.60697600001</v>
      </c>
      <c r="H3402" s="156">
        <v>15461.19</v>
      </c>
      <c r="I3402" s="156">
        <v>84923.64</v>
      </c>
      <c r="J3402" s="156">
        <v>0</v>
      </c>
      <c r="K3402" s="131">
        <f t="shared" si="212"/>
        <v>100384.83</v>
      </c>
      <c r="L3402" s="134">
        <v>0.1792</v>
      </c>
    </row>
    <row r="3403" spans="3:12">
      <c r="C3403" s="161">
        <f t="shared" si="210"/>
        <v>2015</v>
      </c>
      <c r="D3403" s="35" t="s">
        <v>311</v>
      </c>
      <c r="E3403" s="227">
        <v>42309</v>
      </c>
      <c r="F3403" s="156">
        <v>132785.81</v>
      </c>
      <c r="G3403" s="131">
        <f t="shared" si="211"/>
        <v>23795.217152000001</v>
      </c>
      <c r="H3403" s="156">
        <v>472.38</v>
      </c>
      <c r="I3403" s="156">
        <v>0</v>
      </c>
      <c r="J3403" s="156">
        <v>0</v>
      </c>
      <c r="K3403" s="131">
        <f t="shared" si="212"/>
        <v>472.38</v>
      </c>
      <c r="L3403" s="134">
        <v>0.1792</v>
      </c>
    </row>
    <row r="3404" spans="3:12">
      <c r="C3404" s="161">
        <f t="shared" si="210"/>
        <v>2015</v>
      </c>
      <c r="D3404" s="35" t="s">
        <v>311</v>
      </c>
      <c r="E3404" s="227">
        <v>42339</v>
      </c>
      <c r="F3404" s="156">
        <v>128823.03999999999</v>
      </c>
      <c r="G3404" s="131">
        <f t="shared" si="211"/>
        <v>23085.088767999998</v>
      </c>
      <c r="H3404" s="156">
        <v>0</v>
      </c>
      <c r="I3404" s="156">
        <v>0</v>
      </c>
      <c r="J3404" s="156">
        <v>0</v>
      </c>
      <c r="K3404" s="131">
        <f t="shared" si="212"/>
        <v>0</v>
      </c>
      <c r="L3404" s="134">
        <v>0.1792</v>
      </c>
    </row>
    <row r="3405" spans="3:12">
      <c r="C3405" s="161">
        <f t="shared" si="210"/>
        <v>2016</v>
      </c>
      <c r="D3405" s="35" t="s">
        <v>311</v>
      </c>
      <c r="E3405" s="227">
        <v>42370</v>
      </c>
      <c r="F3405" s="156">
        <v>135325.48000000001</v>
      </c>
      <c r="G3405" s="131">
        <f t="shared" si="211"/>
        <v>24250.326016000003</v>
      </c>
      <c r="H3405" s="156">
        <v>499.1</v>
      </c>
      <c r="I3405" s="156">
        <v>0</v>
      </c>
      <c r="J3405" s="156">
        <v>0</v>
      </c>
      <c r="K3405" s="131">
        <f t="shared" si="212"/>
        <v>499.1</v>
      </c>
      <c r="L3405" s="134">
        <v>0.1792</v>
      </c>
    </row>
    <row r="3406" spans="3:12">
      <c r="C3406" s="161">
        <f t="shared" si="210"/>
        <v>2016</v>
      </c>
      <c r="D3406" s="35" t="s">
        <v>311</v>
      </c>
      <c r="E3406" s="227">
        <v>42401</v>
      </c>
      <c r="F3406" s="156">
        <v>130098.5</v>
      </c>
      <c r="G3406" s="131">
        <f t="shared" si="211"/>
        <v>23313.6512</v>
      </c>
      <c r="H3406" s="156">
        <v>0</v>
      </c>
      <c r="I3406" s="156">
        <v>0</v>
      </c>
      <c r="J3406" s="156">
        <v>0</v>
      </c>
      <c r="K3406" s="131">
        <f t="shared" si="212"/>
        <v>0</v>
      </c>
      <c r="L3406" s="134">
        <v>0.1792</v>
      </c>
    </row>
    <row r="3407" spans="3:12">
      <c r="C3407" s="161">
        <f t="shared" si="210"/>
        <v>2016</v>
      </c>
      <c r="D3407" s="35" t="s">
        <v>311</v>
      </c>
      <c r="E3407" s="227">
        <v>42430</v>
      </c>
      <c r="F3407" s="156">
        <v>127888.11</v>
      </c>
      <c r="G3407" s="131">
        <f t="shared" si="211"/>
        <v>22917.549311999999</v>
      </c>
      <c r="H3407" s="156">
        <v>4904.22</v>
      </c>
      <c r="I3407" s="156">
        <v>7541.39</v>
      </c>
      <c r="J3407" s="156">
        <v>0</v>
      </c>
      <c r="K3407" s="131">
        <f t="shared" si="212"/>
        <v>12445.61</v>
      </c>
      <c r="L3407" s="134">
        <v>0.1792</v>
      </c>
    </row>
    <row r="3408" spans="3:12">
      <c r="C3408" s="161">
        <f t="shared" si="210"/>
        <v>2016</v>
      </c>
      <c r="D3408" s="35" t="s">
        <v>311</v>
      </c>
      <c r="E3408" s="227">
        <v>42461</v>
      </c>
      <c r="F3408" s="156">
        <v>144115.56</v>
      </c>
      <c r="G3408" s="131">
        <f t="shared" si="211"/>
        <v>25825.508352000001</v>
      </c>
      <c r="H3408" s="156">
        <v>609.16999999999996</v>
      </c>
      <c r="I3408" s="156">
        <v>0</v>
      </c>
      <c r="J3408" s="156">
        <v>0</v>
      </c>
      <c r="K3408" s="131">
        <f t="shared" si="212"/>
        <v>609.16999999999996</v>
      </c>
      <c r="L3408" s="134">
        <v>0.1792</v>
      </c>
    </row>
    <row r="3409" spans="3:12">
      <c r="C3409" s="161">
        <f t="shared" si="210"/>
        <v>2016</v>
      </c>
      <c r="D3409" s="35" t="s">
        <v>311</v>
      </c>
      <c r="E3409" s="227">
        <v>42491</v>
      </c>
      <c r="F3409" s="156">
        <v>132067.95000000001</v>
      </c>
      <c r="G3409" s="131">
        <f t="shared" si="211"/>
        <v>23666.576640000003</v>
      </c>
      <c r="H3409" s="156">
        <v>654.24</v>
      </c>
      <c r="I3409" s="156">
        <v>0</v>
      </c>
      <c r="J3409" s="156">
        <v>0</v>
      </c>
      <c r="K3409" s="131">
        <f t="shared" si="212"/>
        <v>654.24</v>
      </c>
      <c r="L3409" s="134">
        <v>0.1792</v>
      </c>
    </row>
    <row r="3410" spans="3:12">
      <c r="C3410" s="161">
        <f t="shared" si="210"/>
        <v>2016</v>
      </c>
      <c r="D3410" s="35" t="s">
        <v>311</v>
      </c>
      <c r="E3410" s="227">
        <v>42522</v>
      </c>
      <c r="F3410" s="156">
        <v>123481.5</v>
      </c>
      <c r="G3410" s="131">
        <f t="shared" si="211"/>
        <v>22127.8848</v>
      </c>
      <c r="H3410" s="156">
        <v>0</v>
      </c>
      <c r="I3410" s="156">
        <v>0</v>
      </c>
      <c r="J3410" s="156">
        <v>0</v>
      </c>
      <c r="K3410" s="131">
        <f t="shared" si="212"/>
        <v>0</v>
      </c>
      <c r="L3410" s="134">
        <v>0.1792</v>
      </c>
    </row>
    <row r="3411" spans="3:12">
      <c r="C3411" s="161">
        <f t="shared" si="210"/>
        <v>2016</v>
      </c>
      <c r="D3411" s="35" t="s">
        <v>311</v>
      </c>
      <c r="E3411" s="227">
        <v>42552</v>
      </c>
      <c r="F3411" s="156">
        <v>129615.18</v>
      </c>
      <c r="G3411" s="131">
        <f t="shared" si="211"/>
        <v>23227.040256</v>
      </c>
      <c r="H3411" s="156">
        <v>5403.52</v>
      </c>
      <c r="I3411" s="156">
        <v>0</v>
      </c>
      <c r="J3411" s="156">
        <v>0</v>
      </c>
      <c r="K3411" s="131">
        <f t="shared" si="212"/>
        <v>5403.52</v>
      </c>
      <c r="L3411" s="134">
        <v>0.1792</v>
      </c>
    </row>
    <row r="3412" spans="3:12">
      <c r="C3412" s="161">
        <f t="shared" si="210"/>
        <v>2016</v>
      </c>
      <c r="D3412" s="35" t="s">
        <v>311</v>
      </c>
      <c r="E3412" s="227">
        <v>42583</v>
      </c>
      <c r="F3412" s="156">
        <v>139390.76999999999</v>
      </c>
      <c r="G3412" s="131">
        <f t="shared" si="211"/>
        <v>24978.825983999999</v>
      </c>
      <c r="H3412" s="156">
        <v>1199.68</v>
      </c>
      <c r="I3412" s="156">
        <v>0</v>
      </c>
      <c r="J3412" s="156">
        <v>3980</v>
      </c>
      <c r="K3412" s="131">
        <f t="shared" si="212"/>
        <v>5179.68</v>
      </c>
      <c r="L3412" s="134">
        <v>0.1792</v>
      </c>
    </row>
    <row r="3413" spans="3:12">
      <c r="C3413" s="161">
        <f t="shared" si="210"/>
        <v>2016</v>
      </c>
      <c r="D3413" s="35" t="s">
        <v>311</v>
      </c>
      <c r="E3413" s="227">
        <v>42614</v>
      </c>
      <c r="F3413" s="156">
        <v>136213.41</v>
      </c>
      <c r="G3413" s="131">
        <f t="shared" si="211"/>
        <v>24409.443072000002</v>
      </c>
      <c r="H3413" s="156">
        <v>453.2</v>
      </c>
      <c r="I3413" s="156">
        <v>0</v>
      </c>
      <c r="J3413" s="156">
        <v>0</v>
      </c>
      <c r="K3413" s="131">
        <f t="shared" si="212"/>
        <v>453.2</v>
      </c>
      <c r="L3413" s="134">
        <v>0.1792</v>
      </c>
    </row>
    <row r="3414" spans="3:12">
      <c r="C3414" s="161">
        <f t="shared" si="210"/>
        <v>2016</v>
      </c>
      <c r="D3414" s="35" t="s">
        <v>311</v>
      </c>
      <c r="E3414" s="227">
        <v>42644</v>
      </c>
      <c r="F3414" s="156">
        <v>145224.63</v>
      </c>
      <c r="G3414" s="131">
        <f t="shared" si="211"/>
        <v>26024.253696</v>
      </c>
      <c r="H3414" s="156">
        <v>0</v>
      </c>
      <c r="I3414" s="156">
        <v>0</v>
      </c>
      <c r="J3414" s="156">
        <v>0</v>
      </c>
      <c r="K3414" s="131">
        <f t="shared" si="212"/>
        <v>0</v>
      </c>
      <c r="L3414" s="134">
        <v>0.1792</v>
      </c>
    </row>
    <row r="3415" spans="3:12">
      <c r="C3415" s="161">
        <f t="shared" si="210"/>
        <v>2016</v>
      </c>
      <c r="D3415" s="35" t="s">
        <v>311</v>
      </c>
      <c r="E3415" s="227">
        <v>42675</v>
      </c>
      <c r="F3415" s="156">
        <v>186578.59</v>
      </c>
      <c r="G3415" s="131">
        <f t="shared" si="211"/>
        <v>33434.883327999996</v>
      </c>
      <c r="H3415" s="156">
        <v>492.42</v>
      </c>
      <c r="I3415" s="156">
        <v>0</v>
      </c>
      <c r="J3415" s="156">
        <v>0</v>
      </c>
      <c r="K3415" s="131">
        <f t="shared" si="212"/>
        <v>492.42</v>
      </c>
      <c r="L3415" s="134">
        <v>0.1792</v>
      </c>
    </row>
    <row r="3416" spans="3:12">
      <c r="C3416" s="161">
        <f t="shared" si="210"/>
        <v>2016</v>
      </c>
      <c r="D3416" s="35" t="s">
        <v>311</v>
      </c>
      <c r="E3416" s="227">
        <v>42705</v>
      </c>
      <c r="F3416" s="156">
        <v>144568.31</v>
      </c>
      <c r="G3416" s="131">
        <f t="shared" si="211"/>
        <v>25906.641152</v>
      </c>
      <c r="H3416" s="156">
        <v>606.08000000000004</v>
      </c>
      <c r="I3416" s="156">
        <v>0</v>
      </c>
      <c r="J3416" s="156">
        <v>0</v>
      </c>
      <c r="K3416" s="131">
        <f t="shared" si="212"/>
        <v>606.08000000000004</v>
      </c>
      <c r="L3416" s="134">
        <v>0.1792</v>
      </c>
    </row>
    <row r="3417" spans="3:12">
      <c r="C3417" s="161">
        <f t="shared" si="210"/>
        <v>2017</v>
      </c>
      <c r="D3417" s="35" t="s">
        <v>311</v>
      </c>
      <c r="E3417" s="227">
        <v>42736</v>
      </c>
      <c r="F3417" s="156">
        <v>150206.66</v>
      </c>
      <c r="G3417" s="131">
        <f t="shared" si="211"/>
        <v>26917.033471999999</v>
      </c>
      <c r="H3417" s="156">
        <v>335.95</v>
      </c>
      <c r="I3417" s="156">
        <v>0</v>
      </c>
      <c r="J3417" s="156">
        <v>1974.66</v>
      </c>
      <c r="K3417" s="131">
        <f t="shared" si="212"/>
        <v>2310.61</v>
      </c>
      <c r="L3417" s="134">
        <v>0.1792</v>
      </c>
    </row>
    <row r="3418" spans="3:12">
      <c r="C3418" s="161">
        <f t="shared" si="210"/>
        <v>2017</v>
      </c>
      <c r="D3418" s="35" t="s">
        <v>311</v>
      </c>
      <c r="E3418" s="227">
        <v>42767</v>
      </c>
      <c r="F3418" s="156">
        <v>134229.88</v>
      </c>
      <c r="G3418" s="131">
        <f t="shared" si="211"/>
        <v>24053.994495999999</v>
      </c>
      <c r="H3418" s="156">
        <v>342.92</v>
      </c>
      <c r="I3418" s="156">
        <v>0</v>
      </c>
      <c r="J3418" s="156">
        <v>0</v>
      </c>
      <c r="K3418" s="131">
        <f t="shared" si="212"/>
        <v>342.92</v>
      </c>
      <c r="L3418" s="134">
        <v>0.1792</v>
      </c>
    </row>
    <row r="3419" spans="3:12">
      <c r="C3419" s="161">
        <f t="shared" si="210"/>
        <v>2017</v>
      </c>
      <c r="D3419" s="35" t="s">
        <v>311</v>
      </c>
      <c r="E3419" s="227">
        <v>42795</v>
      </c>
      <c r="F3419" s="156">
        <v>128535.06</v>
      </c>
      <c r="G3419" s="131">
        <f t="shared" si="211"/>
        <v>23033.482752</v>
      </c>
      <c r="H3419" s="156">
        <v>261.87</v>
      </c>
      <c r="I3419" s="156">
        <v>0</v>
      </c>
      <c r="J3419" s="156">
        <v>1240.2</v>
      </c>
      <c r="K3419" s="131">
        <f t="shared" si="212"/>
        <v>1502.0700000000002</v>
      </c>
      <c r="L3419" s="134">
        <v>0.1792</v>
      </c>
    </row>
    <row r="3420" spans="3:12">
      <c r="C3420" s="161">
        <f t="shared" si="210"/>
        <v>2017</v>
      </c>
      <c r="D3420" s="35" t="s">
        <v>311</v>
      </c>
      <c r="E3420" s="227">
        <v>42826</v>
      </c>
      <c r="F3420" s="156">
        <v>136347.32999999999</v>
      </c>
      <c r="G3420" s="131">
        <f t="shared" si="211"/>
        <v>24433.441535999998</v>
      </c>
      <c r="H3420" s="156">
        <v>876.21</v>
      </c>
      <c r="I3420" s="156">
        <v>0</v>
      </c>
      <c r="J3420" s="156">
        <v>0</v>
      </c>
      <c r="K3420" s="131">
        <f t="shared" si="212"/>
        <v>876.21</v>
      </c>
      <c r="L3420" s="134">
        <v>0.1792</v>
      </c>
    </row>
    <row r="3421" spans="3:12">
      <c r="C3421" s="161">
        <f t="shared" si="210"/>
        <v>2017</v>
      </c>
      <c r="D3421" s="35" t="s">
        <v>311</v>
      </c>
      <c r="E3421" s="227">
        <v>42856</v>
      </c>
      <c r="F3421" s="156">
        <v>128733.12</v>
      </c>
      <c r="G3421" s="131">
        <f t="shared" si="211"/>
        <v>23068.975103999997</v>
      </c>
      <c r="H3421" s="156">
        <v>0</v>
      </c>
      <c r="I3421" s="156">
        <v>0</v>
      </c>
      <c r="J3421" s="156">
        <v>0</v>
      </c>
      <c r="K3421" s="131">
        <f t="shared" si="212"/>
        <v>0</v>
      </c>
      <c r="L3421" s="134">
        <v>0.1792</v>
      </c>
    </row>
    <row r="3422" spans="3:12">
      <c r="C3422" s="161">
        <f t="shared" si="210"/>
        <v>2017</v>
      </c>
      <c r="D3422" s="35" t="s">
        <v>311</v>
      </c>
      <c r="E3422" s="227">
        <v>42887</v>
      </c>
      <c r="F3422" s="156">
        <v>134991.89000000001</v>
      </c>
      <c r="G3422" s="131">
        <f t="shared" si="211"/>
        <v>24190.546688000002</v>
      </c>
      <c r="H3422" s="156">
        <v>823.41</v>
      </c>
      <c r="I3422" s="156">
        <v>0.02</v>
      </c>
      <c r="J3422" s="156">
        <v>0</v>
      </c>
      <c r="K3422" s="131">
        <f t="shared" si="212"/>
        <v>823.43</v>
      </c>
      <c r="L3422" s="134">
        <v>0.1792</v>
      </c>
    </row>
    <row r="3423" spans="3:12">
      <c r="C3423" s="161">
        <f t="shared" si="210"/>
        <v>2017</v>
      </c>
      <c r="D3423" s="35" t="s">
        <v>311</v>
      </c>
      <c r="E3423" s="227">
        <v>42917</v>
      </c>
      <c r="F3423" s="156">
        <v>135092.66</v>
      </c>
      <c r="G3423" s="131">
        <f t="shared" si="211"/>
        <v>24208.604672000001</v>
      </c>
      <c r="H3423" s="156">
        <v>628.94000000000005</v>
      </c>
      <c r="I3423" s="156">
        <v>0</v>
      </c>
      <c r="J3423" s="156">
        <v>0</v>
      </c>
      <c r="K3423" s="131">
        <f t="shared" si="212"/>
        <v>628.94000000000005</v>
      </c>
      <c r="L3423" s="134">
        <v>0.1792</v>
      </c>
    </row>
    <row r="3424" spans="3:12">
      <c r="C3424" s="161">
        <f t="shared" si="210"/>
        <v>2017</v>
      </c>
      <c r="D3424" s="35" t="s">
        <v>311</v>
      </c>
      <c r="E3424" s="227">
        <v>42948</v>
      </c>
      <c r="F3424" s="156">
        <v>144687.26</v>
      </c>
      <c r="G3424" s="131">
        <f t="shared" si="211"/>
        <v>25927.956992000003</v>
      </c>
      <c r="H3424" s="156">
        <v>324.89999999999998</v>
      </c>
      <c r="I3424" s="156">
        <v>0</v>
      </c>
      <c r="J3424" s="156">
        <v>0</v>
      </c>
      <c r="K3424" s="131">
        <f t="shared" si="212"/>
        <v>324.89999999999998</v>
      </c>
      <c r="L3424" s="134">
        <v>0.1792</v>
      </c>
    </row>
    <row r="3425" spans="3:12">
      <c r="C3425" s="161">
        <f t="shared" si="210"/>
        <v>2017</v>
      </c>
      <c r="D3425" s="35" t="s">
        <v>311</v>
      </c>
      <c r="E3425" s="227">
        <v>42979</v>
      </c>
      <c r="F3425" s="156">
        <v>154080.47</v>
      </c>
      <c r="G3425" s="131">
        <f t="shared" si="211"/>
        <v>27611.220224000001</v>
      </c>
      <c r="H3425" s="156">
        <v>16046.77</v>
      </c>
      <c r="I3425" s="156">
        <v>0</v>
      </c>
      <c r="J3425" s="156">
        <v>0</v>
      </c>
      <c r="K3425" s="131">
        <f t="shared" si="212"/>
        <v>16046.77</v>
      </c>
      <c r="L3425" s="134">
        <v>0.1792</v>
      </c>
    </row>
    <row r="3426" spans="3:12">
      <c r="C3426" s="161">
        <f t="shared" si="210"/>
        <v>2017</v>
      </c>
      <c r="D3426" s="35" t="s">
        <v>311</v>
      </c>
      <c r="E3426" s="227">
        <v>43009</v>
      </c>
      <c r="F3426" s="156">
        <v>143604.72</v>
      </c>
      <c r="G3426" s="131">
        <f t="shared" si="211"/>
        <v>25733.965823999999</v>
      </c>
      <c r="H3426" s="156">
        <v>46.09</v>
      </c>
      <c r="I3426" s="156">
        <v>0</v>
      </c>
      <c r="J3426" s="156">
        <v>0</v>
      </c>
      <c r="K3426" s="131">
        <f t="shared" si="212"/>
        <v>46.09</v>
      </c>
      <c r="L3426" s="134">
        <v>0.1792</v>
      </c>
    </row>
    <row r="3427" spans="3:12">
      <c r="C3427" s="161">
        <f t="shared" si="210"/>
        <v>2017</v>
      </c>
      <c r="D3427" s="35" t="s">
        <v>311</v>
      </c>
      <c r="E3427" s="227">
        <v>43040</v>
      </c>
      <c r="F3427" s="156">
        <v>137651.46</v>
      </c>
      <c r="G3427" s="131">
        <f t="shared" si="211"/>
        <v>24667.141631999999</v>
      </c>
      <c r="H3427" s="156">
        <v>966.62</v>
      </c>
      <c r="I3427" s="156">
        <v>0</v>
      </c>
      <c r="J3427" s="156">
        <v>0</v>
      </c>
      <c r="K3427" s="131">
        <f t="shared" si="212"/>
        <v>966.62</v>
      </c>
      <c r="L3427" s="134">
        <v>0.1792</v>
      </c>
    </row>
    <row r="3428" spans="3:12">
      <c r="C3428" s="161">
        <f t="shared" si="210"/>
        <v>2017</v>
      </c>
      <c r="D3428" s="35" t="s">
        <v>311</v>
      </c>
      <c r="E3428" s="227">
        <v>43070</v>
      </c>
      <c r="F3428" s="156">
        <v>148863.67999999999</v>
      </c>
      <c r="G3428" s="131">
        <f t="shared" si="211"/>
        <v>26676.371455999997</v>
      </c>
      <c r="H3428" s="156">
        <v>103.79</v>
      </c>
      <c r="I3428" s="156">
        <v>0</v>
      </c>
      <c r="J3428" s="156">
        <v>0</v>
      </c>
      <c r="K3428" s="131">
        <f t="shared" si="212"/>
        <v>103.79</v>
      </c>
      <c r="L3428" s="134">
        <v>0.1792</v>
      </c>
    </row>
    <row r="3429" spans="3:12">
      <c r="C3429" s="161">
        <f t="shared" si="210"/>
        <v>2018</v>
      </c>
      <c r="D3429" s="35" t="s">
        <v>311</v>
      </c>
      <c r="E3429" s="227">
        <v>43101</v>
      </c>
      <c r="F3429" s="156">
        <v>138721.54</v>
      </c>
      <c r="G3429" s="131">
        <f t="shared" si="211"/>
        <v>24858.899968000002</v>
      </c>
      <c r="H3429" s="156">
        <v>196.93</v>
      </c>
      <c r="I3429" s="156">
        <v>0</v>
      </c>
      <c r="J3429" s="156">
        <v>0</v>
      </c>
      <c r="K3429" s="131">
        <f t="shared" si="212"/>
        <v>196.93</v>
      </c>
      <c r="L3429" s="134">
        <v>0.1792</v>
      </c>
    </row>
    <row r="3430" spans="3:12">
      <c r="C3430" s="161">
        <f t="shared" si="210"/>
        <v>2018</v>
      </c>
      <c r="D3430" s="35" t="s">
        <v>311</v>
      </c>
      <c r="E3430" s="227">
        <v>43132</v>
      </c>
      <c r="F3430" s="156">
        <v>134399.42000000001</v>
      </c>
      <c r="G3430" s="131">
        <f t="shared" si="211"/>
        <v>24084.376064000004</v>
      </c>
      <c r="H3430" s="156">
        <v>230.57</v>
      </c>
      <c r="I3430" s="156">
        <v>0</v>
      </c>
      <c r="J3430" s="156">
        <v>0</v>
      </c>
      <c r="K3430" s="131">
        <f t="shared" si="212"/>
        <v>230.57</v>
      </c>
      <c r="L3430" s="134">
        <v>0.1792</v>
      </c>
    </row>
    <row r="3431" spans="3:12">
      <c r="C3431" s="161">
        <f t="shared" si="210"/>
        <v>2018</v>
      </c>
      <c r="D3431" s="35" t="s">
        <v>311</v>
      </c>
      <c r="E3431" s="227">
        <v>43160</v>
      </c>
      <c r="F3431" s="156">
        <v>134076.75</v>
      </c>
      <c r="G3431" s="131">
        <f t="shared" si="211"/>
        <v>24026.553599999999</v>
      </c>
      <c r="H3431" s="156">
        <v>340.1</v>
      </c>
      <c r="I3431" s="156">
        <v>0</v>
      </c>
      <c r="J3431" s="156">
        <v>0</v>
      </c>
      <c r="K3431" s="131">
        <f t="shared" si="212"/>
        <v>340.1</v>
      </c>
      <c r="L3431" s="134">
        <v>0.1792</v>
      </c>
    </row>
    <row r="3432" spans="3:12">
      <c r="C3432" s="161">
        <f t="shared" si="210"/>
        <v>2018</v>
      </c>
      <c r="D3432" s="35" t="s">
        <v>311</v>
      </c>
      <c r="E3432" s="227">
        <v>43191</v>
      </c>
      <c r="F3432" s="156">
        <v>145640.03</v>
      </c>
      <c r="G3432" s="131">
        <f t="shared" si="211"/>
        <v>26098.693375999999</v>
      </c>
      <c r="H3432" s="156">
        <v>472.5</v>
      </c>
      <c r="I3432" s="156">
        <v>0</v>
      </c>
      <c r="J3432" s="156">
        <v>0</v>
      </c>
      <c r="K3432" s="131">
        <f t="shared" si="212"/>
        <v>472.5</v>
      </c>
      <c r="L3432" s="134">
        <v>0.1792</v>
      </c>
    </row>
    <row r="3433" spans="3:12">
      <c r="C3433" s="161">
        <f t="shared" si="210"/>
        <v>2018</v>
      </c>
      <c r="D3433" s="35" t="s">
        <v>311</v>
      </c>
      <c r="E3433" s="227">
        <v>43221</v>
      </c>
      <c r="F3433" s="156">
        <v>142550.15</v>
      </c>
      <c r="G3433" s="131">
        <f t="shared" si="211"/>
        <v>25544.98688</v>
      </c>
      <c r="H3433" s="156">
        <v>441.54</v>
      </c>
      <c r="I3433" s="156">
        <v>0</v>
      </c>
      <c r="J3433" s="156">
        <v>0</v>
      </c>
      <c r="K3433" s="131">
        <f t="shared" si="212"/>
        <v>441.54</v>
      </c>
      <c r="L3433" s="134">
        <v>0.1792</v>
      </c>
    </row>
    <row r="3434" spans="3:12">
      <c r="C3434" s="161">
        <f t="shared" si="210"/>
        <v>2018</v>
      </c>
      <c r="D3434" s="35" t="s">
        <v>311</v>
      </c>
      <c r="E3434" s="227">
        <v>43252</v>
      </c>
      <c r="F3434" s="156">
        <v>139532</v>
      </c>
      <c r="G3434" s="131">
        <f t="shared" si="211"/>
        <v>25004.134399999999</v>
      </c>
      <c r="H3434" s="156">
        <v>224</v>
      </c>
      <c r="I3434" s="156">
        <v>0</v>
      </c>
      <c r="J3434" s="156">
        <v>0</v>
      </c>
      <c r="K3434" s="131">
        <f t="shared" si="212"/>
        <v>224</v>
      </c>
      <c r="L3434" s="134">
        <v>0.1792</v>
      </c>
    </row>
    <row r="3435" spans="3:12">
      <c r="C3435" s="161">
        <f t="shared" si="210"/>
        <v>2018</v>
      </c>
      <c r="D3435" s="35" t="s">
        <v>311</v>
      </c>
      <c r="E3435" s="227">
        <v>43282</v>
      </c>
      <c r="F3435" s="156">
        <v>138705.42000000001</v>
      </c>
      <c r="G3435" s="131">
        <f t="shared" si="211"/>
        <v>24856.011264000001</v>
      </c>
      <c r="H3435" s="156">
        <v>7000.11</v>
      </c>
      <c r="I3435" s="156">
        <v>13125</v>
      </c>
      <c r="J3435" s="156">
        <v>0</v>
      </c>
      <c r="K3435" s="131">
        <f t="shared" si="212"/>
        <v>20125.11</v>
      </c>
      <c r="L3435" s="134">
        <v>0.1792</v>
      </c>
    </row>
    <row r="3436" spans="3:12">
      <c r="C3436" s="161">
        <f t="shared" si="210"/>
        <v>2018</v>
      </c>
      <c r="D3436" s="35" t="s">
        <v>311</v>
      </c>
      <c r="E3436" s="227">
        <v>43313</v>
      </c>
      <c r="F3436" s="156">
        <v>135909.18</v>
      </c>
      <c r="G3436" s="131">
        <f t="shared" si="211"/>
        <v>24354.925056</v>
      </c>
      <c r="H3436" s="156">
        <v>1127.8499999999999</v>
      </c>
      <c r="I3436" s="156">
        <v>0</v>
      </c>
      <c r="J3436" s="156">
        <v>0</v>
      </c>
      <c r="K3436" s="131">
        <f t="shared" si="212"/>
        <v>1127.8499999999999</v>
      </c>
      <c r="L3436" s="134">
        <v>0.1792</v>
      </c>
    </row>
    <row r="3437" spans="3:12">
      <c r="C3437" s="161">
        <f t="shared" si="210"/>
        <v>2018</v>
      </c>
      <c r="D3437" s="35" t="s">
        <v>311</v>
      </c>
      <c r="E3437" s="227">
        <v>43344</v>
      </c>
      <c r="F3437" s="156">
        <v>150266.75</v>
      </c>
      <c r="G3437" s="131">
        <f t="shared" si="211"/>
        <v>26927.801599999999</v>
      </c>
      <c r="H3437" s="156">
        <v>2851.79</v>
      </c>
      <c r="I3437" s="156">
        <v>0</v>
      </c>
      <c r="J3437" s="156">
        <v>0</v>
      </c>
      <c r="K3437" s="131">
        <f t="shared" si="212"/>
        <v>2851.79</v>
      </c>
      <c r="L3437" s="134">
        <v>0.1792</v>
      </c>
    </row>
    <row r="3438" spans="3:12">
      <c r="C3438" s="161">
        <f t="shared" si="210"/>
        <v>2018</v>
      </c>
      <c r="D3438" s="35" t="s">
        <v>311</v>
      </c>
      <c r="E3438" s="227">
        <v>43374</v>
      </c>
      <c r="F3438" s="156">
        <v>143572.87</v>
      </c>
      <c r="G3438" s="131">
        <f t="shared" si="211"/>
        <v>25728.258303999999</v>
      </c>
      <c r="H3438" s="156">
        <v>1738.93</v>
      </c>
      <c r="I3438" s="156">
        <v>0</v>
      </c>
      <c r="J3438" s="156">
        <v>0</v>
      </c>
      <c r="K3438" s="131">
        <f t="shared" si="212"/>
        <v>1738.93</v>
      </c>
      <c r="L3438" s="134">
        <v>0.1792</v>
      </c>
    </row>
    <row r="3439" spans="3:12">
      <c r="C3439" s="161">
        <f t="shared" si="210"/>
        <v>2018</v>
      </c>
      <c r="D3439" s="35" t="s">
        <v>311</v>
      </c>
      <c r="E3439" s="227">
        <v>43405</v>
      </c>
      <c r="F3439" s="156">
        <v>159090.61244999999</v>
      </c>
      <c r="G3439" s="131">
        <f t="shared" si="211"/>
        <v>28509.037751039996</v>
      </c>
      <c r="H3439" s="156">
        <v>295.52</v>
      </c>
      <c r="I3439" s="156">
        <v>10.69</v>
      </c>
      <c r="J3439" s="156" t="s">
        <v>267</v>
      </c>
      <c r="K3439" s="131">
        <f t="shared" si="212"/>
        <v>306.20999999999998</v>
      </c>
      <c r="L3439" s="134">
        <v>0.1792</v>
      </c>
    </row>
    <row r="3440" spans="3:12">
      <c r="C3440" s="161">
        <f t="shared" si="210"/>
        <v>2018</v>
      </c>
      <c r="D3440" s="35" t="s">
        <v>311</v>
      </c>
      <c r="E3440" s="227">
        <v>43435</v>
      </c>
      <c r="F3440" s="156">
        <v>163624.67000000001</v>
      </c>
      <c r="G3440" s="131">
        <f t="shared" si="211"/>
        <v>29321.540864000002</v>
      </c>
      <c r="H3440" s="156">
        <v>0</v>
      </c>
      <c r="I3440" s="156">
        <v>7.62</v>
      </c>
      <c r="J3440" s="156">
        <v>0</v>
      </c>
      <c r="K3440" s="131">
        <f t="shared" si="212"/>
        <v>7.62</v>
      </c>
      <c r="L3440" s="134">
        <v>0.1792</v>
      </c>
    </row>
    <row r="3441" spans="3:12">
      <c r="C3441" s="161">
        <f t="shared" si="210"/>
        <v>2019</v>
      </c>
      <c r="D3441" s="35" t="s">
        <v>311</v>
      </c>
      <c r="E3441" s="227">
        <v>43466</v>
      </c>
      <c r="F3441" s="156">
        <v>165504.45000000001</v>
      </c>
      <c r="G3441" s="131">
        <f t="shared" si="211"/>
        <v>29658.397440000001</v>
      </c>
      <c r="H3441" s="156">
        <v>0</v>
      </c>
      <c r="I3441" s="156">
        <v>311105.67</v>
      </c>
      <c r="J3441" s="156">
        <v>0</v>
      </c>
      <c r="K3441" s="131">
        <f t="shared" si="212"/>
        <v>311105.67</v>
      </c>
      <c r="L3441" s="134">
        <v>0.1792</v>
      </c>
    </row>
    <row r="3442" spans="3:12">
      <c r="C3442" s="161">
        <f t="shared" si="210"/>
        <v>2019</v>
      </c>
      <c r="D3442" s="35" t="s">
        <v>311</v>
      </c>
      <c r="E3442" s="227">
        <v>43497</v>
      </c>
      <c r="F3442" s="156">
        <v>156084.85999999999</v>
      </c>
      <c r="G3442" s="131">
        <f t="shared" si="211"/>
        <v>27970.406911999999</v>
      </c>
      <c r="H3442" s="156">
        <v>242.89</v>
      </c>
      <c r="I3442" s="156">
        <v>670306.07999999996</v>
      </c>
      <c r="J3442" s="156">
        <v>0</v>
      </c>
      <c r="K3442" s="131">
        <f t="shared" si="212"/>
        <v>670548.97</v>
      </c>
      <c r="L3442" s="134">
        <v>0.1792</v>
      </c>
    </row>
    <row r="3443" spans="3:12">
      <c r="C3443" s="161">
        <f t="shared" si="210"/>
        <v>2019</v>
      </c>
      <c r="D3443" s="35" t="s">
        <v>311</v>
      </c>
      <c r="E3443" s="227">
        <v>43525</v>
      </c>
      <c r="F3443" s="156">
        <v>139160.31</v>
      </c>
      <c r="G3443" s="131">
        <f t="shared" si="211"/>
        <v>24937.527552</v>
      </c>
      <c r="H3443" s="156">
        <v>510.19</v>
      </c>
      <c r="I3443" s="156">
        <v>116470.13</v>
      </c>
      <c r="J3443" s="156">
        <v>0</v>
      </c>
      <c r="K3443" s="131">
        <f t="shared" si="212"/>
        <v>116980.32</v>
      </c>
      <c r="L3443" s="134">
        <v>0.1792</v>
      </c>
    </row>
    <row r="3444" spans="3:12">
      <c r="C3444" s="161">
        <f t="shared" si="210"/>
        <v>2019</v>
      </c>
      <c r="D3444" s="35" t="s">
        <v>311</v>
      </c>
      <c r="E3444" s="227">
        <v>43556</v>
      </c>
      <c r="F3444" s="156">
        <v>166065.57999999999</v>
      </c>
      <c r="G3444" s="131">
        <f t="shared" si="211"/>
        <v>29758.951935999998</v>
      </c>
      <c r="H3444" s="156">
        <v>571.74</v>
      </c>
      <c r="I3444" s="156">
        <v>5725.27</v>
      </c>
      <c r="J3444" s="156">
        <v>0</v>
      </c>
      <c r="K3444" s="131">
        <f t="shared" si="212"/>
        <v>6297.01</v>
      </c>
      <c r="L3444" s="134">
        <v>0.1792</v>
      </c>
    </row>
    <row r="3445" spans="3:12">
      <c r="C3445" s="161">
        <f t="shared" si="210"/>
        <v>2019</v>
      </c>
      <c r="D3445" s="35" t="s">
        <v>311</v>
      </c>
      <c r="E3445" s="227">
        <v>43586</v>
      </c>
      <c r="F3445" s="156">
        <v>133530.41</v>
      </c>
      <c r="G3445" s="131">
        <f t="shared" si="211"/>
        <v>23928.649472000001</v>
      </c>
      <c r="H3445" s="156">
        <v>23.7</v>
      </c>
      <c r="I3445" s="156">
        <v>277272.45</v>
      </c>
      <c r="J3445" s="156">
        <v>0</v>
      </c>
      <c r="K3445" s="131">
        <f t="shared" si="212"/>
        <v>277296.15000000002</v>
      </c>
      <c r="L3445" s="134">
        <v>0.1792</v>
      </c>
    </row>
    <row r="3446" spans="3:12">
      <c r="C3446" s="161">
        <f t="shared" si="210"/>
        <v>2019</v>
      </c>
      <c r="D3446" s="35" t="s">
        <v>311</v>
      </c>
      <c r="E3446" s="227">
        <v>43617</v>
      </c>
      <c r="F3446" s="156">
        <v>142853.69</v>
      </c>
      <c r="G3446" s="131">
        <f t="shared" si="211"/>
        <v>25599.381248000002</v>
      </c>
      <c r="H3446" s="156">
        <v>3963.96</v>
      </c>
      <c r="I3446" s="156">
        <v>295434.23</v>
      </c>
      <c r="J3446" s="156" t="s">
        <v>267</v>
      </c>
      <c r="K3446" s="131">
        <f t="shared" si="212"/>
        <v>299398.19</v>
      </c>
      <c r="L3446" s="134">
        <v>0.1792</v>
      </c>
    </row>
    <row r="3447" spans="3:12">
      <c r="C3447" s="161">
        <f t="shared" si="210"/>
        <v>2019</v>
      </c>
      <c r="D3447" s="35" t="s">
        <v>311</v>
      </c>
      <c r="E3447" s="227">
        <v>43647</v>
      </c>
      <c r="F3447" s="156">
        <v>141304.44</v>
      </c>
      <c r="G3447" s="131">
        <f t="shared" si="211"/>
        <v>25321.755647999998</v>
      </c>
      <c r="H3447" s="156">
        <v>0</v>
      </c>
      <c r="I3447" s="156">
        <v>451516.59</v>
      </c>
      <c r="J3447" s="156">
        <v>17854.28</v>
      </c>
      <c r="K3447" s="131">
        <f t="shared" si="212"/>
        <v>469370.87</v>
      </c>
      <c r="L3447" s="134">
        <v>0.1792</v>
      </c>
    </row>
    <row r="3448" spans="3:12">
      <c r="C3448" s="161">
        <f t="shared" si="210"/>
        <v>2019</v>
      </c>
      <c r="D3448" s="35" t="s">
        <v>311</v>
      </c>
      <c r="E3448" s="227">
        <v>43678</v>
      </c>
      <c r="F3448" s="156">
        <v>158841.39000000001</v>
      </c>
      <c r="G3448" s="131">
        <f t="shared" si="211"/>
        <v>28464.377088000001</v>
      </c>
      <c r="H3448" s="156">
        <v>890.96</v>
      </c>
      <c r="I3448" s="156">
        <v>47524.94</v>
      </c>
      <c r="J3448" s="156">
        <v>0</v>
      </c>
      <c r="K3448" s="131">
        <f t="shared" si="212"/>
        <v>48415.9</v>
      </c>
      <c r="L3448" s="134">
        <v>0.1792</v>
      </c>
    </row>
    <row r="3449" spans="3:12">
      <c r="C3449" s="161">
        <f t="shared" si="210"/>
        <v>2019</v>
      </c>
      <c r="D3449" s="35" t="s">
        <v>311</v>
      </c>
      <c r="E3449" s="227">
        <v>43709</v>
      </c>
      <c r="F3449" s="156">
        <v>174374.52</v>
      </c>
      <c r="G3449" s="131">
        <f t="shared" si="211"/>
        <v>31247.913983999999</v>
      </c>
      <c r="H3449" s="156">
        <v>306.89999999999998</v>
      </c>
      <c r="I3449" s="156">
        <v>12549.17</v>
      </c>
      <c r="J3449" s="156">
        <v>0</v>
      </c>
      <c r="K3449" s="131">
        <f t="shared" si="212"/>
        <v>12856.07</v>
      </c>
      <c r="L3449" s="134">
        <v>0.1792</v>
      </c>
    </row>
    <row r="3450" spans="3:12">
      <c r="C3450" s="161">
        <f t="shared" si="210"/>
        <v>2019</v>
      </c>
      <c r="D3450" s="35" t="s">
        <v>311</v>
      </c>
      <c r="E3450" s="227">
        <v>43739</v>
      </c>
      <c r="F3450" s="156">
        <v>162373.22</v>
      </c>
      <c r="G3450" s="131">
        <f t="shared" si="211"/>
        <v>29097.281024</v>
      </c>
      <c r="H3450" s="156">
        <v>419.55</v>
      </c>
      <c r="I3450" s="156">
        <v>208935.77</v>
      </c>
      <c r="J3450" s="156">
        <v>992.78</v>
      </c>
      <c r="K3450" s="131">
        <f t="shared" si="212"/>
        <v>210348.09999999998</v>
      </c>
      <c r="L3450" s="134">
        <v>0.1792</v>
      </c>
    </row>
    <row r="3451" spans="3:12">
      <c r="C3451" s="161">
        <f t="shared" si="210"/>
        <v>2019</v>
      </c>
      <c r="D3451" s="35" t="s">
        <v>311</v>
      </c>
      <c r="E3451" s="227">
        <v>43770</v>
      </c>
      <c r="F3451" s="156">
        <v>186370.58</v>
      </c>
      <c r="G3451" s="131">
        <f t="shared" si="211"/>
        <v>33397.607936</v>
      </c>
      <c r="H3451" s="156">
        <v>0</v>
      </c>
      <c r="I3451" s="156">
        <v>17712.650000000001</v>
      </c>
      <c r="J3451" s="156">
        <v>0</v>
      </c>
      <c r="K3451" s="131">
        <f t="shared" si="212"/>
        <v>17712.650000000001</v>
      </c>
      <c r="L3451" s="134">
        <v>0.1792</v>
      </c>
    </row>
    <row r="3452" spans="3:12">
      <c r="C3452" s="161">
        <f t="shared" si="210"/>
        <v>2019</v>
      </c>
      <c r="D3452" s="35" t="s">
        <v>311</v>
      </c>
      <c r="E3452" s="227">
        <v>43800</v>
      </c>
      <c r="F3452" s="156">
        <v>163090.72</v>
      </c>
      <c r="G3452" s="131">
        <f t="shared" si="211"/>
        <v>29225.857024000001</v>
      </c>
      <c r="H3452" s="156">
        <v>528.30999999999995</v>
      </c>
      <c r="I3452" s="156">
        <v>17570.61</v>
      </c>
      <c r="J3452" s="156">
        <v>0</v>
      </c>
      <c r="K3452" s="131">
        <f t="shared" si="212"/>
        <v>18098.920000000002</v>
      </c>
      <c r="L3452" s="134">
        <v>0.1792</v>
      </c>
    </row>
    <row r="3453" spans="3:12">
      <c r="C3453" s="161">
        <f t="shared" si="210"/>
        <v>2020</v>
      </c>
      <c r="D3453" s="35" t="s">
        <v>311</v>
      </c>
      <c r="E3453" s="227">
        <v>43831</v>
      </c>
      <c r="F3453" s="156">
        <v>166109.35</v>
      </c>
      <c r="G3453" s="131">
        <f t="shared" si="211"/>
        <v>29766.79552</v>
      </c>
      <c r="H3453" s="156">
        <v>424.36</v>
      </c>
      <c r="I3453" s="156">
        <v>18596.37</v>
      </c>
      <c r="J3453" s="156">
        <v>0</v>
      </c>
      <c r="K3453" s="131">
        <f t="shared" si="212"/>
        <v>19020.73</v>
      </c>
      <c r="L3453" s="134">
        <v>0.1792</v>
      </c>
    </row>
    <row r="3454" spans="3:12">
      <c r="C3454" s="161">
        <f t="shared" si="210"/>
        <v>2020</v>
      </c>
      <c r="D3454" s="35" t="s">
        <v>311</v>
      </c>
      <c r="E3454" s="227">
        <v>43862</v>
      </c>
      <c r="F3454" s="156">
        <v>163596.62</v>
      </c>
      <c r="G3454" s="131">
        <f t="shared" si="211"/>
        <v>29316.514304</v>
      </c>
      <c r="H3454" s="156">
        <v>134.76</v>
      </c>
      <c r="I3454" s="156">
        <v>14133.95</v>
      </c>
      <c r="J3454" s="156">
        <v>0</v>
      </c>
      <c r="K3454" s="131">
        <f t="shared" si="212"/>
        <v>14268.710000000001</v>
      </c>
      <c r="L3454" s="134">
        <v>0.1792</v>
      </c>
    </row>
    <row r="3455" spans="3:12">
      <c r="C3455" s="161">
        <f t="shared" si="210"/>
        <v>2020</v>
      </c>
      <c r="D3455" s="35" t="s">
        <v>311</v>
      </c>
      <c r="E3455" s="227">
        <v>43891</v>
      </c>
      <c r="F3455" s="156">
        <v>169460.22472500001</v>
      </c>
      <c r="G3455" s="131">
        <f t="shared" si="211"/>
        <v>30367.272270720001</v>
      </c>
      <c r="H3455" s="156">
        <v>218.76</v>
      </c>
      <c r="I3455" s="156">
        <v>6310.77</v>
      </c>
      <c r="J3455" s="156">
        <v>0</v>
      </c>
      <c r="K3455" s="131">
        <f t="shared" si="212"/>
        <v>6529.5300000000007</v>
      </c>
      <c r="L3455" s="134">
        <v>0.1792</v>
      </c>
    </row>
    <row r="3456" spans="3:12">
      <c r="C3456" s="161">
        <f t="shared" si="210"/>
        <v>2020</v>
      </c>
      <c r="D3456" s="35" t="s">
        <v>311</v>
      </c>
      <c r="E3456" s="227">
        <v>43922</v>
      </c>
      <c r="F3456" s="156">
        <v>169196.4417</v>
      </c>
      <c r="G3456" s="131">
        <f t="shared" si="211"/>
        <v>30320.00235264</v>
      </c>
      <c r="H3456" s="156">
        <v>221.53</v>
      </c>
      <c r="I3456" s="156">
        <v>6010.68</v>
      </c>
      <c r="J3456" s="156">
        <v>0</v>
      </c>
      <c r="K3456" s="131">
        <f t="shared" si="212"/>
        <v>6232.21</v>
      </c>
      <c r="L3456" s="134">
        <v>0.1792</v>
      </c>
    </row>
    <row r="3457" spans="3:12">
      <c r="C3457" s="161">
        <f t="shared" si="210"/>
        <v>2020</v>
      </c>
      <c r="D3457" s="35" t="s">
        <v>311</v>
      </c>
      <c r="E3457" s="227">
        <v>43952</v>
      </c>
      <c r="F3457" s="156">
        <v>153693.84</v>
      </c>
      <c r="G3457" s="131">
        <f t="shared" si="211"/>
        <v>27541.936127999998</v>
      </c>
      <c r="H3457" s="156">
        <v>43.3</v>
      </c>
      <c r="I3457" s="156">
        <v>306.45999999999998</v>
      </c>
      <c r="J3457" s="156">
        <v>1931.01</v>
      </c>
      <c r="K3457" s="131">
        <f t="shared" si="212"/>
        <v>2280.77</v>
      </c>
      <c r="L3457" s="134">
        <v>0.1792</v>
      </c>
    </row>
    <row r="3458" spans="3:12">
      <c r="C3458" s="161">
        <f t="shared" si="210"/>
        <v>2020</v>
      </c>
      <c r="D3458" s="35" t="s">
        <v>311</v>
      </c>
      <c r="E3458" s="227">
        <v>43983</v>
      </c>
      <c r="F3458" s="156">
        <v>156700.95000000001</v>
      </c>
      <c r="G3458" s="131">
        <f t="shared" si="211"/>
        <v>28080.810240000003</v>
      </c>
      <c r="H3458" s="156">
        <v>156.44</v>
      </c>
      <c r="I3458" s="156">
        <v>13661.45</v>
      </c>
      <c r="J3458" s="156">
        <v>0</v>
      </c>
      <c r="K3458" s="131">
        <f t="shared" si="212"/>
        <v>13817.890000000001</v>
      </c>
      <c r="L3458" s="134">
        <v>0.1792</v>
      </c>
    </row>
    <row r="3459" spans="3:12">
      <c r="C3459" s="161">
        <f t="shared" si="210"/>
        <v>2020</v>
      </c>
      <c r="D3459" s="35" t="s">
        <v>311</v>
      </c>
      <c r="E3459" s="227">
        <v>44013</v>
      </c>
      <c r="F3459" s="156">
        <v>161251.60999999999</v>
      </c>
      <c r="G3459" s="131">
        <f t="shared" si="211"/>
        <v>28896.288511999996</v>
      </c>
      <c r="H3459" s="156">
        <v>6182.59</v>
      </c>
      <c r="I3459" s="156">
        <v>925.34</v>
      </c>
      <c r="J3459" s="156">
        <v>0</v>
      </c>
      <c r="K3459" s="131">
        <f t="shared" si="212"/>
        <v>7107.93</v>
      </c>
      <c r="L3459" s="134">
        <v>0.1792</v>
      </c>
    </row>
    <row r="3460" spans="3:12">
      <c r="C3460" s="161">
        <f t="shared" ref="C3460:C3523" si="213">YEAR(E3460)</f>
        <v>2020</v>
      </c>
      <c r="D3460" s="35" t="s">
        <v>311</v>
      </c>
      <c r="E3460" s="227">
        <v>44044</v>
      </c>
      <c r="F3460" s="156">
        <v>153994.38</v>
      </c>
      <c r="G3460" s="131">
        <f t="shared" ref="G3460:G3523" si="214">F3460*L3460</f>
        <v>27595.792895999999</v>
      </c>
      <c r="H3460" s="156">
        <v>3036.22</v>
      </c>
      <c r="I3460" s="156">
        <v>1217.78</v>
      </c>
      <c r="J3460" s="156">
        <v>0</v>
      </c>
      <c r="K3460" s="131">
        <f t="shared" ref="K3460:K3523" si="215">SUM(H3460:J3460)</f>
        <v>4254</v>
      </c>
      <c r="L3460" s="134">
        <v>0.1792</v>
      </c>
    </row>
    <row r="3461" spans="3:12">
      <c r="C3461" s="161">
        <f t="shared" si="213"/>
        <v>2020</v>
      </c>
      <c r="D3461" s="35" t="s">
        <v>311</v>
      </c>
      <c r="E3461" s="227">
        <v>44075</v>
      </c>
      <c r="F3461" s="156">
        <v>179473.2</v>
      </c>
      <c r="G3461" s="131">
        <f t="shared" si="214"/>
        <v>32161.597440000001</v>
      </c>
      <c r="H3461" s="156">
        <v>267.39999999999998</v>
      </c>
      <c r="I3461" s="156">
        <v>737.42</v>
      </c>
      <c r="J3461" s="156">
        <v>0</v>
      </c>
      <c r="K3461" s="131">
        <f t="shared" si="215"/>
        <v>1004.8199999999999</v>
      </c>
      <c r="L3461" s="134">
        <v>0.1792</v>
      </c>
    </row>
    <row r="3462" spans="3:12">
      <c r="C3462" s="161">
        <f t="shared" si="213"/>
        <v>2020</v>
      </c>
      <c r="D3462" s="35" t="s">
        <v>311</v>
      </c>
      <c r="E3462" s="227">
        <v>44105</v>
      </c>
      <c r="F3462" s="156">
        <v>180415.53</v>
      </c>
      <c r="G3462" s="131">
        <f t="shared" si="214"/>
        <v>32330.462975999999</v>
      </c>
      <c r="H3462" s="156">
        <v>535.41999999999996</v>
      </c>
      <c r="I3462" s="156">
        <v>2219.42</v>
      </c>
      <c r="J3462" s="156">
        <v>0</v>
      </c>
      <c r="K3462" s="131">
        <f t="shared" si="215"/>
        <v>2754.84</v>
      </c>
      <c r="L3462" s="134">
        <v>0.1792</v>
      </c>
    </row>
    <row r="3463" spans="3:12">
      <c r="C3463" s="161">
        <f t="shared" si="213"/>
        <v>2020</v>
      </c>
      <c r="D3463" s="35" t="s">
        <v>311</v>
      </c>
      <c r="E3463" s="227">
        <v>44136</v>
      </c>
      <c r="F3463" s="156">
        <v>172976.09</v>
      </c>
      <c r="G3463" s="131">
        <f t="shared" si="214"/>
        <v>30997.315328000001</v>
      </c>
      <c r="H3463" s="156">
        <v>0</v>
      </c>
      <c r="I3463" s="156">
        <v>2716.04</v>
      </c>
      <c r="J3463" s="156">
        <v>0</v>
      </c>
      <c r="K3463" s="131">
        <f t="shared" si="215"/>
        <v>2716.04</v>
      </c>
      <c r="L3463" s="134">
        <v>0.1792</v>
      </c>
    </row>
    <row r="3464" spans="3:12">
      <c r="C3464" s="161">
        <f t="shared" si="213"/>
        <v>2020</v>
      </c>
      <c r="D3464" s="35" t="s">
        <v>311</v>
      </c>
      <c r="E3464" s="227">
        <v>44166</v>
      </c>
      <c r="F3464" s="156">
        <v>172038.51</v>
      </c>
      <c r="G3464" s="131">
        <f t="shared" si="214"/>
        <v>30829.300992</v>
      </c>
      <c r="H3464" s="156">
        <v>158.49</v>
      </c>
      <c r="I3464" s="156">
        <v>0</v>
      </c>
      <c r="J3464" s="156">
        <v>0</v>
      </c>
      <c r="K3464" s="131">
        <f t="shared" si="215"/>
        <v>158.49</v>
      </c>
      <c r="L3464" s="134">
        <v>0.1792</v>
      </c>
    </row>
    <row r="3465" spans="3:12">
      <c r="C3465" s="161">
        <f t="shared" si="213"/>
        <v>2021</v>
      </c>
      <c r="D3465" s="35" t="s">
        <v>311</v>
      </c>
      <c r="E3465" s="227">
        <v>44197</v>
      </c>
      <c r="F3465" s="156">
        <v>175273.58</v>
      </c>
      <c r="G3465" s="131">
        <f t="shared" si="214"/>
        <v>31409.025535999997</v>
      </c>
      <c r="H3465" s="156">
        <v>1320.72</v>
      </c>
      <c r="I3465" s="156">
        <v>531.35</v>
      </c>
      <c r="J3465" s="156">
        <v>0</v>
      </c>
      <c r="K3465" s="131">
        <f t="shared" si="215"/>
        <v>1852.0700000000002</v>
      </c>
      <c r="L3465" s="134">
        <v>0.1792</v>
      </c>
    </row>
    <row r="3466" spans="3:12">
      <c r="C3466" s="161">
        <f t="shared" si="213"/>
        <v>2021</v>
      </c>
      <c r="D3466" s="35" t="s">
        <v>311</v>
      </c>
      <c r="E3466" s="227">
        <v>44229</v>
      </c>
      <c r="F3466" s="156">
        <v>177939.9</v>
      </c>
      <c r="G3466" s="131">
        <f t="shared" si="214"/>
        <v>31886.83008</v>
      </c>
      <c r="H3466" s="156">
        <v>158.49</v>
      </c>
      <c r="I3466" s="156">
        <v>6686.38</v>
      </c>
      <c r="J3466" s="156">
        <v>0</v>
      </c>
      <c r="K3466" s="131">
        <f t="shared" si="215"/>
        <v>6844.87</v>
      </c>
      <c r="L3466" s="134">
        <v>0.1792</v>
      </c>
    </row>
    <row r="3467" spans="3:12">
      <c r="C3467" s="161">
        <f t="shared" si="213"/>
        <v>2021</v>
      </c>
      <c r="D3467" s="35" t="s">
        <v>311</v>
      </c>
      <c r="E3467" s="227">
        <v>44258</v>
      </c>
      <c r="F3467" s="156">
        <v>164280.34</v>
      </c>
      <c r="G3467" s="131">
        <f t="shared" si="214"/>
        <v>29439.036927999998</v>
      </c>
      <c r="H3467" s="156">
        <v>413.93</v>
      </c>
      <c r="I3467" s="156">
        <v>895.31</v>
      </c>
      <c r="J3467" s="156">
        <v>0</v>
      </c>
      <c r="K3467" s="131">
        <f t="shared" si="215"/>
        <v>1309.24</v>
      </c>
      <c r="L3467" s="134">
        <v>0.1792</v>
      </c>
    </row>
    <row r="3468" spans="3:12">
      <c r="C3468" s="161">
        <f t="shared" si="213"/>
        <v>2021</v>
      </c>
      <c r="D3468" s="35" t="s">
        <v>311</v>
      </c>
      <c r="E3468" s="227">
        <v>44290</v>
      </c>
      <c r="F3468" s="156">
        <v>182270.01</v>
      </c>
      <c r="G3468" s="131">
        <f t="shared" si="214"/>
        <v>32662.785792000002</v>
      </c>
      <c r="H3468" s="156">
        <v>4397.95</v>
      </c>
      <c r="I3468" s="156">
        <v>3985.91</v>
      </c>
      <c r="J3468" s="156">
        <v>0</v>
      </c>
      <c r="K3468" s="131">
        <f t="shared" si="215"/>
        <v>8383.86</v>
      </c>
      <c r="L3468" s="134">
        <v>0.1792</v>
      </c>
    </row>
    <row r="3469" spans="3:12">
      <c r="C3469" s="161">
        <f t="shared" si="213"/>
        <v>2021</v>
      </c>
      <c r="D3469" s="35" t="s">
        <v>311</v>
      </c>
      <c r="E3469" s="227">
        <v>44321</v>
      </c>
      <c r="F3469" s="156">
        <v>165923.15</v>
      </c>
      <c r="G3469" s="131">
        <f t="shared" si="214"/>
        <v>29733.428479999999</v>
      </c>
      <c r="H3469" s="156">
        <v>0</v>
      </c>
      <c r="I3469" s="156">
        <v>0</v>
      </c>
      <c r="J3469" s="156">
        <v>0</v>
      </c>
      <c r="K3469" s="131">
        <f t="shared" si="215"/>
        <v>0</v>
      </c>
      <c r="L3469" s="134">
        <v>0.1792</v>
      </c>
    </row>
    <row r="3470" spans="3:12">
      <c r="C3470" s="161">
        <f t="shared" si="213"/>
        <v>2021</v>
      </c>
      <c r="D3470" s="35" t="s">
        <v>311</v>
      </c>
      <c r="E3470" s="227">
        <v>44353</v>
      </c>
      <c r="F3470" s="156">
        <v>165936.26999999999</v>
      </c>
      <c r="G3470" s="131">
        <f t="shared" si="214"/>
        <v>29735.779583999996</v>
      </c>
      <c r="H3470" s="156">
        <v>254.63</v>
      </c>
      <c r="I3470" s="156">
        <v>0</v>
      </c>
      <c r="J3470" s="156">
        <v>0</v>
      </c>
      <c r="K3470" s="131">
        <f t="shared" si="215"/>
        <v>254.63</v>
      </c>
      <c r="L3470" s="134">
        <v>0.1792</v>
      </c>
    </row>
    <row r="3471" spans="3:12">
      <c r="C3471" s="161">
        <f t="shared" si="213"/>
        <v>2015</v>
      </c>
      <c r="D3471" s="35" t="s">
        <v>312</v>
      </c>
      <c r="E3471" s="227">
        <v>42309</v>
      </c>
      <c r="F3471" s="156">
        <v>158482.31520000001</v>
      </c>
      <c r="G3471" s="131">
        <f t="shared" si="214"/>
        <v>28400.030883840001</v>
      </c>
      <c r="H3471" s="156">
        <v>0</v>
      </c>
      <c r="I3471" s="156">
        <v>0</v>
      </c>
      <c r="J3471" s="156">
        <v>0</v>
      </c>
      <c r="K3471" s="131">
        <f t="shared" si="215"/>
        <v>0</v>
      </c>
      <c r="L3471" s="134">
        <v>0.1792</v>
      </c>
    </row>
    <row r="3472" spans="3:12">
      <c r="C3472" s="161">
        <f t="shared" si="213"/>
        <v>2015</v>
      </c>
      <c r="D3472" s="35" t="s">
        <v>312</v>
      </c>
      <c r="E3472" s="227">
        <v>42339</v>
      </c>
      <c r="F3472" s="156">
        <v>143935.171875</v>
      </c>
      <c r="G3472" s="131">
        <f t="shared" si="214"/>
        <v>25793.182799999999</v>
      </c>
      <c r="H3472" s="156">
        <v>3103.46</v>
      </c>
      <c r="I3472" s="156">
        <v>0</v>
      </c>
      <c r="J3472" s="156">
        <v>0</v>
      </c>
      <c r="K3472" s="131">
        <f t="shared" si="215"/>
        <v>3103.46</v>
      </c>
      <c r="L3472" s="134">
        <v>0.1792</v>
      </c>
    </row>
    <row r="3473" spans="3:12">
      <c r="C3473" s="161">
        <f t="shared" si="213"/>
        <v>2016</v>
      </c>
      <c r="D3473" s="35" t="s">
        <v>312</v>
      </c>
      <c r="E3473" s="227">
        <v>42370</v>
      </c>
      <c r="F3473" s="156">
        <v>153001.01519999999</v>
      </c>
      <c r="G3473" s="131">
        <f t="shared" si="214"/>
        <v>27417.781923839997</v>
      </c>
      <c r="H3473" s="156">
        <v>5925.61</v>
      </c>
      <c r="I3473" s="156">
        <v>0</v>
      </c>
      <c r="J3473" s="156">
        <v>0</v>
      </c>
      <c r="K3473" s="131">
        <f t="shared" si="215"/>
        <v>5925.61</v>
      </c>
      <c r="L3473" s="134">
        <v>0.1792</v>
      </c>
    </row>
    <row r="3474" spans="3:12">
      <c r="C3474" s="161">
        <f t="shared" si="213"/>
        <v>2016</v>
      </c>
      <c r="D3474" s="35" t="s">
        <v>312</v>
      </c>
      <c r="E3474" s="227">
        <v>42401</v>
      </c>
      <c r="F3474" s="156">
        <v>144238.37669999999</v>
      </c>
      <c r="G3474" s="131">
        <f t="shared" si="214"/>
        <v>25847.517104639999</v>
      </c>
      <c r="H3474" s="156">
        <v>242.11</v>
      </c>
      <c r="I3474" s="156">
        <v>1284.3499999999999</v>
      </c>
      <c r="J3474" s="156">
        <v>0</v>
      </c>
      <c r="K3474" s="131">
        <f t="shared" si="215"/>
        <v>1526.46</v>
      </c>
      <c r="L3474" s="134">
        <v>0.1792</v>
      </c>
    </row>
    <row r="3475" spans="3:12">
      <c r="C3475" s="161">
        <f t="shared" si="213"/>
        <v>2016</v>
      </c>
      <c r="D3475" s="35" t="s">
        <v>312</v>
      </c>
      <c r="E3475" s="227">
        <v>42430</v>
      </c>
      <c r="F3475" s="156">
        <v>134016.97732500001</v>
      </c>
      <c r="G3475" s="131">
        <f t="shared" si="214"/>
        <v>24015.842336640002</v>
      </c>
      <c r="H3475" s="156">
        <v>2996.35</v>
      </c>
      <c r="I3475" s="156">
        <v>32181.97</v>
      </c>
      <c r="J3475" s="156">
        <v>0</v>
      </c>
      <c r="K3475" s="131">
        <f t="shared" si="215"/>
        <v>35178.32</v>
      </c>
      <c r="L3475" s="134">
        <v>0.1792</v>
      </c>
    </row>
    <row r="3476" spans="3:12">
      <c r="C3476" s="161">
        <f t="shared" si="213"/>
        <v>2016</v>
      </c>
      <c r="D3476" s="35" t="s">
        <v>312</v>
      </c>
      <c r="E3476" s="227">
        <v>42461</v>
      </c>
      <c r="F3476" s="156">
        <v>153503.125875</v>
      </c>
      <c r="G3476" s="131">
        <f t="shared" si="214"/>
        <v>27507.760156799999</v>
      </c>
      <c r="H3476" s="156">
        <v>1961.56</v>
      </c>
      <c r="I3476" s="156">
        <v>758.76</v>
      </c>
      <c r="J3476" s="156">
        <v>0</v>
      </c>
      <c r="K3476" s="131">
        <f t="shared" si="215"/>
        <v>2720.3199999999997</v>
      </c>
      <c r="L3476" s="134">
        <v>0.1792</v>
      </c>
    </row>
    <row r="3477" spans="3:12">
      <c r="C3477" s="161">
        <f t="shared" si="213"/>
        <v>2016</v>
      </c>
      <c r="D3477" s="35" t="s">
        <v>312</v>
      </c>
      <c r="E3477" s="227">
        <v>42491</v>
      </c>
      <c r="F3477" s="156">
        <v>144387.61507500001</v>
      </c>
      <c r="G3477" s="131">
        <f t="shared" si="214"/>
        <v>25874.26062144</v>
      </c>
      <c r="H3477" s="156">
        <v>1315.72</v>
      </c>
      <c r="I3477" s="156">
        <v>0</v>
      </c>
      <c r="J3477" s="156">
        <v>269</v>
      </c>
      <c r="K3477" s="131">
        <f t="shared" si="215"/>
        <v>1584.72</v>
      </c>
      <c r="L3477" s="134">
        <v>0.1792</v>
      </c>
    </row>
    <row r="3478" spans="3:12">
      <c r="C3478" s="161">
        <f t="shared" si="213"/>
        <v>2016</v>
      </c>
      <c r="D3478" s="35" t="s">
        <v>312</v>
      </c>
      <c r="E3478" s="227">
        <v>42522</v>
      </c>
      <c r="F3478" s="156">
        <v>150870.27780000001</v>
      </c>
      <c r="G3478" s="131">
        <f t="shared" si="214"/>
        <v>27035.953781760003</v>
      </c>
      <c r="H3478" s="156">
        <v>24874.73</v>
      </c>
      <c r="I3478" s="156">
        <v>3573.92</v>
      </c>
      <c r="J3478" s="156">
        <v>0</v>
      </c>
      <c r="K3478" s="131">
        <f t="shared" si="215"/>
        <v>28448.65</v>
      </c>
      <c r="L3478" s="134">
        <v>0.1792</v>
      </c>
    </row>
    <row r="3479" spans="3:12">
      <c r="C3479" s="161">
        <f t="shared" si="213"/>
        <v>2016</v>
      </c>
      <c r="D3479" s="35" t="s">
        <v>312</v>
      </c>
      <c r="E3479" s="227">
        <v>42552</v>
      </c>
      <c r="F3479" s="156">
        <v>164791.14629999999</v>
      </c>
      <c r="G3479" s="131">
        <f t="shared" si="214"/>
        <v>29530.57341696</v>
      </c>
      <c r="H3479" s="156">
        <v>351.21</v>
      </c>
      <c r="I3479" s="156">
        <v>0</v>
      </c>
      <c r="J3479" s="156">
        <v>1740.06</v>
      </c>
      <c r="K3479" s="131">
        <f t="shared" si="215"/>
        <v>2091.27</v>
      </c>
      <c r="L3479" s="134">
        <v>0.1792</v>
      </c>
    </row>
    <row r="3480" spans="3:12">
      <c r="C3480" s="161">
        <f t="shared" si="213"/>
        <v>2016</v>
      </c>
      <c r="D3480" s="35" t="s">
        <v>312</v>
      </c>
      <c r="E3480" s="227">
        <v>42583</v>
      </c>
      <c r="F3480" s="156">
        <v>176888.43892499999</v>
      </c>
      <c r="G3480" s="131">
        <f t="shared" si="214"/>
        <v>31698.408255359998</v>
      </c>
      <c r="H3480" s="156">
        <v>1517.32</v>
      </c>
      <c r="I3480" s="156">
        <v>0</v>
      </c>
      <c r="J3480" s="156">
        <v>3980</v>
      </c>
      <c r="K3480" s="131">
        <f t="shared" si="215"/>
        <v>5497.32</v>
      </c>
      <c r="L3480" s="134">
        <v>0.1792</v>
      </c>
    </row>
    <row r="3481" spans="3:12">
      <c r="C3481" s="161">
        <f t="shared" si="213"/>
        <v>2016</v>
      </c>
      <c r="D3481" s="35" t="s">
        <v>312</v>
      </c>
      <c r="E3481" s="227">
        <v>42614</v>
      </c>
      <c r="F3481" s="156">
        <v>165346.74502500001</v>
      </c>
      <c r="G3481" s="131">
        <f t="shared" si="214"/>
        <v>29630.13670848</v>
      </c>
      <c r="H3481" s="156">
        <v>2493.86</v>
      </c>
      <c r="I3481" s="156">
        <v>953.49</v>
      </c>
      <c r="J3481" s="156">
        <v>0</v>
      </c>
      <c r="K3481" s="131">
        <f t="shared" si="215"/>
        <v>3447.3500000000004</v>
      </c>
      <c r="L3481" s="134">
        <v>0.1792</v>
      </c>
    </row>
    <row r="3482" spans="3:12">
      <c r="C3482" s="161">
        <f t="shared" si="213"/>
        <v>2016</v>
      </c>
      <c r="D3482" s="35" t="s">
        <v>312</v>
      </c>
      <c r="E3482" s="227">
        <v>42644</v>
      </c>
      <c r="F3482" s="156">
        <v>169383.15075</v>
      </c>
      <c r="G3482" s="131">
        <f t="shared" si="214"/>
        <v>30353.460614399999</v>
      </c>
      <c r="H3482" s="156">
        <v>877.39</v>
      </c>
      <c r="I3482" s="156">
        <v>0</v>
      </c>
      <c r="J3482" s="156">
        <v>0</v>
      </c>
      <c r="K3482" s="131">
        <f t="shared" si="215"/>
        <v>877.39</v>
      </c>
      <c r="L3482" s="134">
        <v>0.1792</v>
      </c>
    </row>
    <row r="3483" spans="3:12">
      <c r="C3483" s="161">
        <f t="shared" si="213"/>
        <v>2016</v>
      </c>
      <c r="D3483" s="35" t="s">
        <v>312</v>
      </c>
      <c r="E3483" s="227">
        <v>42675</v>
      </c>
      <c r="F3483" s="156">
        <v>166434.774</v>
      </c>
      <c r="G3483" s="131">
        <f t="shared" si="214"/>
        <v>29825.111500800002</v>
      </c>
      <c r="H3483" s="156">
        <v>2839.87</v>
      </c>
      <c r="I3483" s="156">
        <v>0</v>
      </c>
      <c r="J3483" s="156">
        <v>1770.1</v>
      </c>
      <c r="K3483" s="131">
        <f t="shared" si="215"/>
        <v>4609.9699999999993</v>
      </c>
      <c r="L3483" s="134">
        <v>0.1792</v>
      </c>
    </row>
    <row r="3484" spans="3:12">
      <c r="C3484" s="161">
        <f t="shared" si="213"/>
        <v>2016</v>
      </c>
      <c r="D3484" s="35" t="s">
        <v>312</v>
      </c>
      <c r="E3484" s="227">
        <v>42705</v>
      </c>
      <c r="F3484" s="156">
        <v>159868.26735000001</v>
      </c>
      <c r="G3484" s="131">
        <f t="shared" si="214"/>
        <v>28648.39350912</v>
      </c>
      <c r="H3484" s="156">
        <v>1838.31</v>
      </c>
      <c r="I3484" s="156">
        <v>1451.48</v>
      </c>
      <c r="J3484" s="156">
        <v>0</v>
      </c>
      <c r="K3484" s="131">
        <f t="shared" si="215"/>
        <v>3289.79</v>
      </c>
      <c r="L3484" s="134">
        <v>0.1792</v>
      </c>
    </row>
    <row r="3485" spans="3:12">
      <c r="C3485" s="161">
        <f t="shared" si="213"/>
        <v>2017</v>
      </c>
      <c r="D3485" s="35" t="s">
        <v>312</v>
      </c>
      <c r="E3485" s="227">
        <v>42736</v>
      </c>
      <c r="F3485" s="156">
        <v>172906.64655</v>
      </c>
      <c r="G3485" s="131">
        <f t="shared" si="214"/>
        <v>30984.871061760001</v>
      </c>
      <c r="H3485" s="156">
        <v>477.84</v>
      </c>
      <c r="I3485" s="156">
        <v>0</v>
      </c>
      <c r="J3485" s="156">
        <v>0</v>
      </c>
      <c r="K3485" s="131">
        <f t="shared" si="215"/>
        <v>477.84</v>
      </c>
      <c r="L3485" s="134">
        <v>0.1792</v>
      </c>
    </row>
    <row r="3486" spans="3:12">
      <c r="C3486" s="161">
        <f t="shared" si="213"/>
        <v>2017</v>
      </c>
      <c r="D3486" s="35" t="s">
        <v>312</v>
      </c>
      <c r="E3486" s="227">
        <v>42767</v>
      </c>
      <c r="F3486" s="156">
        <v>159221.083725</v>
      </c>
      <c r="G3486" s="131">
        <f t="shared" si="214"/>
        <v>28532.418203519999</v>
      </c>
      <c r="H3486" s="156">
        <v>237.7</v>
      </c>
      <c r="I3486" s="156">
        <v>0</v>
      </c>
      <c r="J3486" s="156">
        <v>0</v>
      </c>
      <c r="K3486" s="131">
        <f t="shared" si="215"/>
        <v>237.7</v>
      </c>
      <c r="L3486" s="134">
        <v>0.1792</v>
      </c>
    </row>
    <row r="3487" spans="3:12">
      <c r="C3487" s="161">
        <f t="shared" si="213"/>
        <v>2017</v>
      </c>
      <c r="D3487" s="35" t="s">
        <v>312</v>
      </c>
      <c r="E3487" s="227">
        <v>42795</v>
      </c>
      <c r="F3487" s="156">
        <v>156789.64000000001</v>
      </c>
      <c r="G3487" s="131">
        <f t="shared" si="214"/>
        <v>28096.703488000003</v>
      </c>
      <c r="H3487" s="156">
        <v>100.37</v>
      </c>
      <c r="I3487" s="156">
        <v>0</v>
      </c>
      <c r="J3487" s="156">
        <v>0</v>
      </c>
      <c r="K3487" s="131">
        <f t="shared" si="215"/>
        <v>100.37</v>
      </c>
      <c r="L3487" s="134">
        <v>0.1792</v>
      </c>
    </row>
    <row r="3488" spans="3:12">
      <c r="C3488" s="161">
        <f t="shared" si="213"/>
        <v>2017</v>
      </c>
      <c r="D3488" s="35" t="s">
        <v>312</v>
      </c>
      <c r="E3488" s="227">
        <v>42826</v>
      </c>
      <c r="F3488" s="156">
        <v>151019.19</v>
      </c>
      <c r="G3488" s="131">
        <f t="shared" si="214"/>
        <v>27062.638847999999</v>
      </c>
      <c r="H3488" s="156">
        <v>4119.1899999999996</v>
      </c>
      <c r="I3488" s="156">
        <v>0</v>
      </c>
      <c r="J3488" s="156">
        <v>0</v>
      </c>
      <c r="K3488" s="131">
        <f t="shared" si="215"/>
        <v>4119.1899999999996</v>
      </c>
      <c r="L3488" s="134">
        <v>0.1792</v>
      </c>
    </row>
    <row r="3489" spans="3:12">
      <c r="C3489" s="161">
        <f t="shared" si="213"/>
        <v>2017</v>
      </c>
      <c r="D3489" s="35" t="s">
        <v>312</v>
      </c>
      <c r="E3489" s="227">
        <v>42856</v>
      </c>
      <c r="F3489" s="156">
        <v>155487.81</v>
      </c>
      <c r="G3489" s="131">
        <f t="shared" si="214"/>
        <v>27863.415551999999</v>
      </c>
      <c r="H3489" s="156">
        <v>264.20999999999998</v>
      </c>
      <c r="I3489" s="156">
        <v>0</v>
      </c>
      <c r="J3489" s="156">
        <v>0</v>
      </c>
      <c r="K3489" s="131">
        <f t="shared" si="215"/>
        <v>264.20999999999998</v>
      </c>
      <c r="L3489" s="134">
        <v>0.1792</v>
      </c>
    </row>
    <row r="3490" spans="3:12">
      <c r="C3490" s="161">
        <f t="shared" si="213"/>
        <v>2017</v>
      </c>
      <c r="D3490" s="35" t="s">
        <v>312</v>
      </c>
      <c r="E3490" s="227">
        <v>42887</v>
      </c>
      <c r="F3490" s="156">
        <v>158782.60999999999</v>
      </c>
      <c r="G3490" s="131">
        <f t="shared" si="214"/>
        <v>28453.843711999998</v>
      </c>
      <c r="H3490" s="156">
        <v>318.75</v>
      </c>
      <c r="I3490" s="156">
        <v>1302.9000000000001</v>
      </c>
      <c r="J3490" s="156">
        <v>0</v>
      </c>
      <c r="K3490" s="131">
        <f t="shared" si="215"/>
        <v>1621.65</v>
      </c>
      <c r="L3490" s="134">
        <v>0.1792</v>
      </c>
    </row>
    <row r="3491" spans="3:12">
      <c r="C3491" s="161">
        <f t="shared" si="213"/>
        <v>2017</v>
      </c>
      <c r="D3491" s="35" t="s">
        <v>312</v>
      </c>
      <c r="E3491" s="227">
        <v>42917</v>
      </c>
      <c r="F3491" s="156">
        <v>163985.03</v>
      </c>
      <c r="G3491" s="131">
        <f t="shared" si="214"/>
        <v>29386.117375999998</v>
      </c>
      <c r="H3491" s="156">
        <v>340.69</v>
      </c>
      <c r="I3491" s="156">
        <v>0</v>
      </c>
      <c r="J3491" s="156">
        <v>0</v>
      </c>
      <c r="K3491" s="131">
        <f t="shared" si="215"/>
        <v>340.69</v>
      </c>
      <c r="L3491" s="134">
        <v>0.1792</v>
      </c>
    </row>
    <row r="3492" spans="3:12">
      <c r="C3492" s="161">
        <f t="shared" si="213"/>
        <v>2017</v>
      </c>
      <c r="D3492" s="35" t="s">
        <v>312</v>
      </c>
      <c r="E3492" s="227">
        <v>42948</v>
      </c>
      <c r="F3492" s="156">
        <v>173992.81</v>
      </c>
      <c r="G3492" s="131">
        <f t="shared" si="214"/>
        <v>31179.511552</v>
      </c>
      <c r="H3492" s="156">
        <v>4036.33</v>
      </c>
      <c r="I3492" s="156">
        <v>0</v>
      </c>
      <c r="J3492" s="156">
        <v>0</v>
      </c>
      <c r="K3492" s="131">
        <f t="shared" si="215"/>
        <v>4036.33</v>
      </c>
      <c r="L3492" s="134">
        <v>0.1792</v>
      </c>
    </row>
    <row r="3493" spans="3:12">
      <c r="C3493" s="161">
        <f t="shared" si="213"/>
        <v>2017</v>
      </c>
      <c r="D3493" s="35" t="s">
        <v>312</v>
      </c>
      <c r="E3493" s="227">
        <v>42979</v>
      </c>
      <c r="F3493" s="156">
        <v>181764.74</v>
      </c>
      <c r="G3493" s="131">
        <f t="shared" si="214"/>
        <v>32572.241407999998</v>
      </c>
      <c r="H3493" s="156">
        <v>358.86</v>
      </c>
      <c r="I3493" s="156">
        <v>0</v>
      </c>
      <c r="J3493" s="156">
        <v>0</v>
      </c>
      <c r="K3493" s="131">
        <f t="shared" si="215"/>
        <v>358.86</v>
      </c>
      <c r="L3493" s="134">
        <v>0.1792</v>
      </c>
    </row>
    <row r="3494" spans="3:12">
      <c r="C3494" s="161">
        <f t="shared" si="213"/>
        <v>2017</v>
      </c>
      <c r="D3494" s="35" t="s">
        <v>312</v>
      </c>
      <c r="E3494" s="227">
        <v>43009</v>
      </c>
      <c r="F3494" s="156">
        <v>174920.83</v>
      </c>
      <c r="G3494" s="131">
        <f t="shared" si="214"/>
        <v>31345.812735999996</v>
      </c>
      <c r="H3494" s="156">
        <v>272.29000000000002</v>
      </c>
      <c r="I3494" s="156">
        <v>0</v>
      </c>
      <c r="J3494" s="156">
        <v>0</v>
      </c>
      <c r="K3494" s="131">
        <f t="shared" si="215"/>
        <v>272.29000000000002</v>
      </c>
      <c r="L3494" s="134">
        <v>0.1792</v>
      </c>
    </row>
    <row r="3495" spans="3:12">
      <c r="C3495" s="161">
        <f t="shared" si="213"/>
        <v>2017</v>
      </c>
      <c r="D3495" s="35" t="s">
        <v>312</v>
      </c>
      <c r="E3495" s="227">
        <v>43040</v>
      </c>
      <c r="F3495" s="156">
        <v>177291.34</v>
      </c>
      <c r="G3495" s="131">
        <f t="shared" si="214"/>
        <v>31770.608128</v>
      </c>
      <c r="H3495" s="156">
        <v>256.93</v>
      </c>
      <c r="I3495" s="156">
        <v>0</v>
      </c>
      <c r="J3495" s="156">
        <v>0</v>
      </c>
      <c r="K3495" s="131">
        <f t="shared" si="215"/>
        <v>256.93</v>
      </c>
      <c r="L3495" s="134">
        <v>0.1792</v>
      </c>
    </row>
    <row r="3496" spans="3:12">
      <c r="C3496" s="161">
        <f t="shared" si="213"/>
        <v>2017</v>
      </c>
      <c r="D3496" s="35" t="s">
        <v>312</v>
      </c>
      <c r="E3496" s="227">
        <v>43070</v>
      </c>
      <c r="F3496" s="156">
        <v>166013.20000000001</v>
      </c>
      <c r="G3496" s="131">
        <f t="shared" si="214"/>
        <v>29749.565440000002</v>
      </c>
      <c r="H3496" s="156">
        <v>381.81</v>
      </c>
      <c r="I3496" s="156">
        <v>0</v>
      </c>
      <c r="J3496" s="156">
        <v>0</v>
      </c>
      <c r="K3496" s="131">
        <f t="shared" si="215"/>
        <v>381.81</v>
      </c>
      <c r="L3496" s="134">
        <v>0.1792</v>
      </c>
    </row>
    <row r="3497" spans="3:12">
      <c r="C3497" s="161">
        <f t="shared" si="213"/>
        <v>2018</v>
      </c>
      <c r="D3497" s="35" t="s">
        <v>312</v>
      </c>
      <c r="E3497" s="227">
        <v>43101</v>
      </c>
      <c r="F3497" s="156">
        <v>169965.06</v>
      </c>
      <c r="G3497" s="131">
        <f t="shared" si="214"/>
        <v>30457.738751999997</v>
      </c>
      <c r="H3497" s="156">
        <v>323.94</v>
      </c>
      <c r="I3497" s="156">
        <v>0</v>
      </c>
      <c r="J3497" s="156">
        <v>0</v>
      </c>
      <c r="K3497" s="131">
        <f t="shared" si="215"/>
        <v>323.94</v>
      </c>
      <c r="L3497" s="134">
        <v>0.1792</v>
      </c>
    </row>
    <row r="3498" spans="3:12">
      <c r="C3498" s="161">
        <f t="shared" si="213"/>
        <v>2018</v>
      </c>
      <c r="D3498" s="35" t="s">
        <v>312</v>
      </c>
      <c r="E3498" s="227">
        <v>43132</v>
      </c>
      <c r="F3498" s="156">
        <v>174588.77</v>
      </c>
      <c r="G3498" s="131">
        <f t="shared" si="214"/>
        <v>31286.307583999998</v>
      </c>
      <c r="H3498" s="156">
        <v>17287.939999999999</v>
      </c>
      <c r="I3498" s="156">
        <v>0</v>
      </c>
      <c r="J3498" s="156">
        <v>0</v>
      </c>
      <c r="K3498" s="131">
        <f t="shared" si="215"/>
        <v>17287.939999999999</v>
      </c>
      <c r="L3498" s="134">
        <v>0.1792</v>
      </c>
    </row>
    <row r="3499" spans="3:12">
      <c r="C3499" s="161">
        <f t="shared" si="213"/>
        <v>2018</v>
      </c>
      <c r="D3499" s="35" t="s">
        <v>312</v>
      </c>
      <c r="E3499" s="227">
        <v>43160</v>
      </c>
      <c r="F3499" s="156">
        <v>159265.16</v>
      </c>
      <c r="G3499" s="131">
        <f t="shared" si="214"/>
        <v>28540.316672000001</v>
      </c>
      <c r="H3499" s="156">
        <v>314.69</v>
      </c>
      <c r="I3499" s="156">
        <v>0</v>
      </c>
      <c r="J3499" s="156">
        <v>0</v>
      </c>
      <c r="K3499" s="131">
        <f t="shared" si="215"/>
        <v>314.69</v>
      </c>
      <c r="L3499" s="134">
        <v>0.1792</v>
      </c>
    </row>
    <row r="3500" spans="3:12">
      <c r="C3500" s="161">
        <f t="shared" si="213"/>
        <v>2018</v>
      </c>
      <c r="D3500" s="35" t="s">
        <v>312</v>
      </c>
      <c r="E3500" s="227">
        <v>43191</v>
      </c>
      <c r="F3500" s="156">
        <v>166198.22</v>
      </c>
      <c r="G3500" s="131">
        <f t="shared" si="214"/>
        <v>29782.721023999999</v>
      </c>
      <c r="H3500" s="156">
        <v>62419.89</v>
      </c>
      <c r="I3500" s="156">
        <v>11191.7</v>
      </c>
      <c r="J3500" s="156">
        <v>0</v>
      </c>
      <c r="K3500" s="131">
        <f t="shared" si="215"/>
        <v>73611.59</v>
      </c>
      <c r="L3500" s="134">
        <v>0.1792</v>
      </c>
    </row>
    <row r="3501" spans="3:12">
      <c r="C3501" s="161">
        <f t="shared" si="213"/>
        <v>2018</v>
      </c>
      <c r="D3501" s="35" t="s">
        <v>312</v>
      </c>
      <c r="E3501" s="227">
        <v>43221</v>
      </c>
      <c r="F3501" s="156">
        <v>170552.73</v>
      </c>
      <c r="G3501" s="131">
        <f t="shared" si="214"/>
        <v>30563.049216000003</v>
      </c>
      <c r="H3501" s="156">
        <v>256.14999999999998</v>
      </c>
      <c r="I3501" s="156">
        <v>1732</v>
      </c>
      <c r="J3501" s="156">
        <v>0</v>
      </c>
      <c r="K3501" s="131">
        <f t="shared" si="215"/>
        <v>1988.15</v>
      </c>
      <c r="L3501" s="134">
        <v>0.1792</v>
      </c>
    </row>
    <row r="3502" spans="3:12">
      <c r="C3502" s="161">
        <f t="shared" si="213"/>
        <v>2018</v>
      </c>
      <c r="D3502" s="35" t="s">
        <v>312</v>
      </c>
      <c r="E3502" s="227">
        <v>43252</v>
      </c>
      <c r="F3502" s="156">
        <v>171192.11</v>
      </c>
      <c r="G3502" s="131">
        <f t="shared" si="214"/>
        <v>30677.626111999998</v>
      </c>
      <c r="H3502" s="156">
        <v>422.47</v>
      </c>
      <c r="I3502" s="156">
        <v>0</v>
      </c>
      <c r="J3502" s="156">
        <v>0</v>
      </c>
      <c r="K3502" s="131">
        <f t="shared" si="215"/>
        <v>422.47</v>
      </c>
      <c r="L3502" s="134">
        <v>0.1792</v>
      </c>
    </row>
    <row r="3503" spans="3:12">
      <c r="C3503" s="161">
        <f t="shared" si="213"/>
        <v>2018</v>
      </c>
      <c r="D3503" s="35" t="s">
        <v>312</v>
      </c>
      <c r="E3503" s="227">
        <v>43282</v>
      </c>
      <c r="F3503" s="156">
        <v>170751.56</v>
      </c>
      <c r="G3503" s="131">
        <f t="shared" si="214"/>
        <v>30598.679551999998</v>
      </c>
      <c r="H3503" s="156">
        <v>317.77</v>
      </c>
      <c r="I3503" s="156">
        <v>0</v>
      </c>
      <c r="J3503" s="156">
        <v>8570.75</v>
      </c>
      <c r="K3503" s="131">
        <f t="shared" si="215"/>
        <v>8888.52</v>
      </c>
      <c r="L3503" s="134">
        <v>0.1792</v>
      </c>
    </row>
    <row r="3504" spans="3:12">
      <c r="C3504" s="161">
        <f t="shared" si="213"/>
        <v>2018</v>
      </c>
      <c r="D3504" s="35" t="s">
        <v>312</v>
      </c>
      <c r="E3504" s="227">
        <v>43313</v>
      </c>
      <c r="F3504" s="156">
        <v>181181.84</v>
      </c>
      <c r="G3504" s="131">
        <f t="shared" si="214"/>
        <v>32467.785727999999</v>
      </c>
      <c r="H3504" s="156">
        <v>1380.16</v>
      </c>
      <c r="I3504" s="156">
        <v>0</v>
      </c>
      <c r="J3504" s="156">
        <v>0</v>
      </c>
      <c r="K3504" s="131">
        <f t="shared" si="215"/>
        <v>1380.16</v>
      </c>
      <c r="L3504" s="134">
        <v>0.1792</v>
      </c>
    </row>
    <row r="3505" spans="3:12">
      <c r="C3505" s="161">
        <f t="shared" si="213"/>
        <v>2018</v>
      </c>
      <c r="D3505" s="35" t="s">
        <v>312</v>
      </c>
      <c r="E3505" s="227">
        <v>43344</v>
      </c>
      <c r="F3505" s="156">
        <v>178499.13</v>
      </c>
      <c r="G3505" s="131">
        <f t="shared" si="214"/>
        <v>31987.044096000001</v>
      </c>
      <c r="H3505" s="156">
        <v>276.64999999999998</v>
      </c>
      <c r="I3505" s="156">
        <v>0</v>
      </c>
      <c r="J3505" s="156">
        <v>505.56</v>
      </c>
      <c r="K3505" s="131">
        <f t="shared" si="215"/>
        <v>782.21</v>
      </c>
      <c r="L3505" s="134">
        <v>0.1792</v>
      </c>
    </row>
    <row r="3506" spans="3:12">
      <c r="C3506" s="161">
        <f t="shared" si="213"/>
        <v>2018</v>
      </c>
      <c r="D3506" s="35" t="s">
        <v>312</v>
      </c>
      <c r="E3506" s="227">
        <v>43374</v>
      </c>
      <c r="F3506" s="156">
        <v>176880.04</v>
      </c>
      <c r="G3506" s="131">
        <f t="shared" si="214"/>
        <v>31696.903168000001</v>
      </c>
      <c r="H3506" s="156">
        <v>169.16</v>
      </c>
      <c r="I3506" s="156">
        <v>0</v>
      </c>
      <c r="J3506" s="156">
        <v>0</v>
      </c>
      <c r="K3506" s="131">
        <f t="shared" si="215"/>
        <v>169.16</v>
      </c>
      <c r="L3506" s="134">
        <v>0.1792</v>
      </c>
    </row>
    <row r="3507" spans="3:12">
      <c r="C3507" s="161">
        <f t="shared" si="213"/>
        <v>2018</v>
      </c>
      <c r="D3507" s="35" t="s">
        <v>312</v>
      </c>
      <c r="E3507" s="227">
        <v>43405</v>
      </c>
      <c r="F3507" s="156">
        <v>176422.46489999999</v>
      </c>
      <c r="G3507" s="131">
        <f t="shared" si="214"/>
        <v>31614.905710079998</v>
      </c>
      <c r="H3507" s="156">
        <v>309.92</v>
      </c>
      <c r="I3507" s="156">
        <v>0</v>
      </c>
      <c r="J3507" s="156">
        <v>0</v>
      </c>
      <c r="K3507" s="131">
        <f t="shared" si="215"/>
        <v>309.92</v>
      </c>
      <c r="L3507" s="134">
        <v>0.1792</v>
      </c>
    </row>
    <row r="3508" spans="3:12">
      <c r="C3508" s="161">
        <f t="shared" si="213"/>
        <v>2018</v>
      </c>
      <c r="D3508" s="35" t="s">
        <v>312</v>
      </c>
      <c r="E3508" s="227">
        <v>43435</v>
      </c>
      <c r="F3508" s="156">
        <v>174057.9</v>
      </c>
      <c r="G3508" s="131">
        <f t="shared" si="214"/>
        <v>31191.17568</v>
      </c>
      <c r="H3508" s="156">
        <v>337.01</v>
      </c>
      <c r="I3508" s="156" t="s">
        <v>267</v>
      </c>
      <c r="J3508" s="156" t="s">
        <v>267</v>
      </c>
      <c r="K3508" s="131">
        <f t="shared" si="215"/>
        <v>337.01</v>
      </c>
      <c r="L3508" s="134">
        <v>0.1792</v>
      </c>
    </row>
    <row r="3509" spans="3:12">
      <c r="C3509" s="161">
        <f t="shared" si="213"/>
        <v>2019</v>
      </c>
      <c r="D3509" s="35" t="s">
        <v>312</v>
      </c>
      <c r="E3509" s="227">
        <v>43466</v>
      </c>
      <c r="F3509" s="156">
        <v>184626.63</v>
      </c>
      <c r="G3509" s="131">
        <f t="shared" si="214"/>
        <v>33085.092096</v>
      </c>
      <c r="H3509" s="156">
        <v>4785</v>
      </c>
      <c r="I3509" s="156">
        <v>0</v>
      </c>
      <c r="J3509" s="156">
        <v>0</v>
      </c>
      <c r="K3509" s="131">
        <f t="shared" si="215"/>
        <v>4785</v>
      </c>
      <c r="L3509" s="134">
        <v>0.1792</v>
      </c>
    </row>
    <row r="3510" spans="3:12">
      <c r="C3510" s="161">
        <f t="shared" si="213"/>
        <v>2019</v>
      </c>
      <c r="D3510" s="35" t="s">
        <v>312</v>
      </c>
      <c r="E3510" s="227">
        <v>43497</v>
      </c>
      <c r="F3510" s="156">
        <v>178024.39</v>
      </c>
      <c r="G3510" s="131">
        <f t="shared" si="214"/>
        <v>31901.970688000001</v>
      </c>
      <c r="H3510" s="156">
        <v>228.16</v>
      </c>
      <c r="I3510" s="156">
        <v>7736.6</v>
      </c>
      <c r="J3510" s="156">
        <v>0</v>
      </c>
      <c r="K3510" s="131">
        <f t="shared" si="215"/>
        <v>7964.76</v>
      </c>
      <c r="L3510" s="134">
        <v>0.1792</v>
      </c>
    </row>
    <row r="3511" spans="3:12">
      <c r="C3511" s="161">
        <f t="shared" si="213"/>
        <v>2019</v>
      </c>
      <c r="D3511" s="35" t="s">
        <v>312</v>
      </c>
      <c r="E3511" s="227">
        <v>43525</v>
      </c>
      <c r="F3511" s="156">
        <v>155983.82999999999</v>
      </c>
      <c r="G3511" s="131">
        <f t="shared" si="214"/>
        <v>27952.302335999997</v>
      </c>
      <c r="H3511" s="156">
        <v>387.97</v>
      </c>
      <c r="I3511" s="156">
        <v>0</v>
      </c>
      <c r="J3511" s="156">
        <v>0</v>
      </c>
      <c r="K3511" s="131">
        <f t="shared" si="215"/>
        <v>387.97</v>
      </c>
      <c r="L3511" s="134">
        <v>0.1792</v>
      </c>
    </row>
    <row r="3512" spans="3:12">
      <c r="C3512" s="161">
        <f t="shared" si="213"/>
        <v>2019</v>
      </c>
      <c r="D3512" s="35" t="s">
        <v>312</v>
      </c>
      <c r="E3512" s="227">
        <v>43556</v>
      </c>
      <c r="F3512" s="156">
        <v>180422.04</v>
      </c>
      <c r="G3512" s="131">
        <f t="shared" si="214"/>
        <v>32331.629568</v>
      </c>
      <c r="H3512" s="156">
        <v>261.66000000000003</v>
      </c>
      <c r="I3512" s="156">
        <v>0</v>
      </c>
      <c r="J3512" s="156">
        <v>0</v>
      </c>
      <c r="K3512" s="131">
        <f t="shared" si="215"/>
        <v>261.66000000000003</v>
      </c>
      <c r="L3512" s="134">
        <v>0.1792</v>
      </c>
    </row>
    <row r="3513" spans="3:12">
      <c r="C3513" s="161">
        <f t="shared" si="213"/>
        <v>2019</v>
      </c>
      <c r="D3513" s="35" t="s">
        <v>312</v>
      </c>
      <c r="E3513" s="227">
        <v>43586</v>
      </c>
      <c r="F3513" s="156">
        <v>179914.92</v>
      </c>
      <c r="G3513" s="131">
        <f t="shared" si="214"/>
        <v>32240.753664000003</v>
      </c>
      <c r="H3513" s="156">
        <v>17346.990000000002</v>
      </c>
      <c r="I3513" s="156">
        <v>0</v>
      </c>
      <c r="J3513" s="156">
        <v>0</v>
      </c>
      <c r="K3513" s="131">
        <f t="shared" si="215"/>
        <v>17346.990000000002</v>
      </c>
      <c r="L3513" s="134">
        <v>0.1792</v>
      </c>
    </row>
    <row r="3514" spans="3:12">
      <c r="C3514" s="161">
        <f t="shared" si="213"/>
        <v>2019</v>
      </c>
      <c r="D3514" s="35" t="s">
        <v>312</v>
      </c>
      <c r="E3514" s="227">
        <v>43617</v>
      </c>
      <c r="F3514" s="156">
        <v>176734.4</v>
      </c>
      <c r="G3514" s="131">
        <f t="shared" si="214"/>
        <v>31670.804479999999</v>
      </c>
      <c r="H3514" s="156">
        <v>10182.379999999999</v>
      </c>
      <c r="I3514" s="156">
        <v>1228.58</v>
      </c>
      <c r="J3514" s="156">
        <v>0</v>
      </c>
      <c r="K3514" s="131">
        <f t="shared" si="215"/>
        <v>11410.96</v>
      </c>
      <c r="L3514" s="134">
        <v>0.1792</v>
      </c>
    </row>
    <row r="3515" spans="3:12">
      <c r="C3515" s="161">
        <f t="shared" si="213"/>
        <v>2019</v>
      </c>
      <c r="D3515" s="35" t="s">
        <v>312</v>
      </c>
      <c r="E3515" s="227">
        <v>43647</v>
      </c>
      <c r="F3515" s="156">
        <v>190014.12</v>
      </c>
      <c r="G3515" s="131">
        <f t="shared" si="214"/>
        <v>34050.530304</v>
      </c>
      <c r="H3515" s="156">
        <v>13407.12</v>
      </c>
      <c r="I3515" s="156">
        <v>4504.87</v>
      </c>
      <c r="J3515" s="156">
        <v>22954.62</v>
      </c>
      <c r="K3515" s="131">
        <f t="shared" si="215"/>
        <v>40866.61</v>
      </c>
      <c r="L3515" s="134">
        <v>0.1792</v>
      </c>
    </row>
    <row r="3516" spans="3:12">
      <c r="C3516" s="161">
        <f t="shared" si="213"/>
        <v>2019</v>
      </c>
      <c r="D3516" s="35" t="s">
        <v>312</v>
      </c>
      <c r="E3516" s="227">
        <v>43678</v>
      </c>
      <c r="F3516" s="156">
        <v>197692.5</v>
      </c>
      <c r="G3516" s="131">
        <f t="shared" si="214"/>
        <v>35426.495999999999</v>
      </c>
      <c r="H3516" s="156">
        <v>1480.05</v>
      </c>
      <c r="I3516" s="156">
        <v>1938.91</v>
      </c>
      <c r="J3516" s="156">
        <v>0</v>
      </c>
      <c r="K3516" s="131">
        <f t="shared" si="215"/>
        <v>3418.96</v>
      </c>
      <c r="L3516" s="134">
        <v>0.1792</v>
      </c>
    </row>
    <row r="3517" spans="3:12">
      <c r="C3517" s="161">
        <f t="shared" si="213"/>
        <v>2019</v>
      </c>
      <c r="D3517" s="35" t="s">
        <v>312</v>
      </c>
      <c r="E3517" s="227">
        <v>43709</v>
      </c>
      <c r="F3517" s="156">
        <v>209966.77</v>
      </c>
      <c r="G3517" s="131">
        <f t="shared" si="214"/>
        <v>37626.045183999995</v>
      </c>
      <c r="H3517" s="156">
        <v>634.66</v>
      </c>
      <c r="I3517" s="156">
        <v>475.43</v>
      </c>
      <c r="J3517" s="156">
        <v>0</v>
      </c>
      <c r="K3517" s="131">
        <f t="shared" si="215"/>
        <v>1110.0899999999999</v>
      </c>
      <c r="L3517" s="134">
        <v>0.1792</v>
      </c>
    </row>
    <row r="3518" spans="3:12">
      <c r="C3518" s="161">
        <f t="shared" si="213"/>
        <v>2019</v>
      </c>
      <c r="D3518" s="35" t="s">
        <v>312</v>
      </c>
      <c r="E3518" s="227">
        <v>43739</v>
      </c>
      <c r="F3518" s="156">
        <v>202087.32</v>
      </c>
      <c r="G3518" s="131">
        <f t="shared" si="214"/>
        <v>36214.047744000003</v>
      </c>
      <c r="H3518" s="156">
        <v>122.26</v>
      </c>
      <c r="I3518" s="156">
        <v>786.1</v>
      </c>
      <c r="J3518" s="156">
        <v>0</v>
      </c>
      <c r="K3518" s="131">
        <f t="shared" si="215"/>
        <v>908.36</v>
      </c>
      <c r="L3518" s="134">
        <v>0.1792</v>
      </c>
    </row>
    <row r="3519" spans="3:12">
      <c r="C3519" s="161">
        <f t="shared" si="213"/>
        <v>2019</v>
      </c>
      <c r="D3519" s="35" t="s">
        <v>312</v>
      </c>
      <c r="E3519" s="227">
        <v>43770</v>
      </c>
      <c r="F3519" s="156">
        <v>202959.87</v>
      </c>
      <c r="G3519" s="131">
        <f t="shared" si="214"/>
        <v>36370.408704000001</v>
      </c>
      <c r="H3519" s="156">
        <v>3110.88</v>
      </c>
      <c r="I3519" s="156">
        <v>0</v>
      </c>
      <c r="J3519" s="156">
        <v>0</v>
      </c>
      <c r="K3519" s="131">
        <f t="shared" si="215"/>
        <v>3110.88</v>
      </c>
      <c r="L3519" s="134">
        <v>0.1792</v>
      </c>
    </row>
    <row r="3520" spans="3:12">
      <c r="C3520" s="161">
        <f t="shared" si="213"/>
        <v>2019</v>
      </c>
      <c r="D3520" s="35" t="s">
        <v>312</v>
      </c>
      <c r="E3520" s="227">
        <v>43800</v>
      </c>
      <c r="F3520" s="156">
        <v>190924.25</v>
      </c>
      <c r="G3520" s="131">
        <f t="shared" si="214"/>
        <v>34213.625599999999</v>
      </c>
      <c r="H3520" s="156">
        <v>256.3</v>
      </c>
      <c r="I3520" s="156">
        <v>47.04</v>
      </c>
      <c r="J3520" s="156">
        <v>0</v>
      </c>
      <c r="K3520" s="131">
        <f t="shared" si="215"/>
        <v>303.34000000000003</v>
      </c>
      <c r="L3520" s="134">
        <v>0.1792</v>
      </c>
    </row>
    <row r="3521" spans="3:12">
      <c r="C3521" s="161">
        <f t="shared" si="213"/>
        <v>2020</v>
      </c>
      <c r="D3521" s="35" t="s">
        <v>312</v>
      </c>
      <c r="E3521" s="227">
        <v>43831</v>
      </c>
      <c r="F3521" s="156">
        <v>190323.84</v>
      </c>
      <c r="G3521" s="131">
        <f t="shared" si="214"/>
        <v>34106.032127999999</v>
      </c>
      <c r="H3521" s="156">
        <v>61.37</v>
      </c>
      <c r="I3521" s="156">
        <v>0</v>
      </c>
      <c r="J3521" s="156">
        <v>1617.54</v>
      </c>
      <c r="K3521" s="131">
        <f t="shared" si="215"/>
        <v>1678.9099999999999</v>
      </c>
      <c r="L3521" s="134">
        <v>0.1792</v>
      </c>
    </row>
    <row r="3522" spans="3:12">
      <c r="C3522" s="161">
        <f t="shared" si="213"/>
        <v>2020</v>
      </c>
      <c r="D3522" s="35" t="s">
        <v>312</v>
      </c>
      <c r="E3522" s="227">
        <v>43862</v>
      </c>
      <c r="F3522" s="156">
        <v>188897.91</v>
      </c>
      <c r="G3522" s="131">
        <f t="shared" si="214"/>
        <v>33850.505471999997</v>
      </c>
      <c r="H3522" s="156">
        <v>662.52</v>
      </c>
      <c r="I3522" s="156">
        <v>188.15</v>
      </c>
      <c r="J3522" s="156">
        <v>0</v>
      </c>
      <c r="K3522" s="131">
        <f t="shared" si="215"/>
        <v>850.67</v>
      </c>
      <c r="L3522" s="134">
        <v>0.1792</v>
      </c>
    </row>
    <row r="3523" spans="3:12">
      <c r="C3523" s="161">
        <f t="shared" si="213"/>
        <v>2020</v>
      </c>
      <c r="D3523" s="35" t="s">
        <v>312</v>
      </c>
      <c r="E3523" s="227">
        <v>43891</v>
      </c>
      <c r="F3523" s="156">
        <v>172336.01055000001</v>
      </c>
      <c r="G3523" s="131">
        <f t="shared" si="214"/>
        <v>30882.61309056</v>
      </c>
      <c r="H3523" s="156">
        <v>614.11</v>
      </c>
      <c r="I3523" s="156">
        <v>2524.11</v>
      </c>
      <c r="J3523" s="156">
        <v>0</v>
      </c>
      <c r="K3523" s="131">
        <f t="shared" si="215"/>
        <v>3138.2200000000003</v>
      </c>
      <c r="L3523" s="134">
        <v>0.1792</v>
      </c>
    </row>
    <row r="3524" spans="3:12">
      <c r="C3524" s="161">
        <f t="shared" ref="C3524:C3587" si="216">YEAR(E3524)</f>
        <v>2020</v>
      </c>
      <c r="D3524" s="35" t="s">
        <v>312</v>
      </c>
      <c r="E3524" s="227">
        <v>43922</v>
      </c>
      <c r="F3524" s="156">
        <v>191817.1134</v>
      </c>
      <c r="G3524" s="131">
        <f t="shared" ref="G3524:G3587" si="217">F3524*L3524</f>
        <v>34373.626721280001</v>
      </c>
      <c r="H3524" s="156">
        <v>184.23</v>
      </c>
      <c r="I3524" s="156">
        <v>0</v>
      </c>
      <c r="J3524" s="156">
        <v>0</v>
      </c>
      <c r="K3524" s="131">
        <f t="shared" ref="K3524:K3587" si="218">SUM(H3524:J3524)</f>
        <v>184.23</v>
      </c>
      <c r="L3524" s="134">
        <v>0.1792</v>
      </c>
    </row>
    <row r="3525" spans="3:12">
      <c r="C3525" s="161">
        <f t="shared" si="216"/>
        <v>2020</v>
      </c>
      <c r="D3525" s="35" t="s">
        <v>312</v>
      </c>
      <c r="E3525" s="227">
        <v>43952</v>
      </c>
      <c r="F3525" s="156">
        <v>184832.37</v>
      </c>
      <c r="G3525" s="131">
        <f t="shared" si="217"/>
        <v>33121.960703999997</v>
      </c>
      <c r="H3525" s="156">
        <v>429.87</v>
      </c>
      <c r="I3525" s="156">
        <v>844.7</v>
      </c>
      <c r="J3525" s="156">
        <v>0</v>
      </c>
      <c r="K3525" s="131">
        <f t="shared" si="218"/>
        <v>1274.5700000000002</v>
      </c>
      <c r="L3525" s="134">
        <v>0.1792</v>
      </c>
    </row>
    <row r="3526" spans="3:12">
      <c r="C3526" s="161">
        <f t="shared" si="216"/>
        <v>2020</v>
      </c>
      <c r="D3526" s="35" t="s">
        <v>312</v>
      </c>
      <c r="E3526" s="227">
        <v>43983</v>
      </c>
      <c r="F3526" s="156">
        <v>171630.45</v>
      </c>
      <c r="G3526" s="131">
        <f t="shared" si="217"/>
        <v>30756.176640000001</v>
      </c>
      <c r="H3526" s="156">
        <v>1387.11</v>
      </c>
      <c r="I3526" s="156">
        <v>0</v>
      </c>
      <c r="J3526" s="156">
        <v>0</v>
      </c>
      <c r="K3526" s="131">
        <f t="shared" si="218"/>
        <v>1387.11</v>
      </c>
      <c r="L3526" s="134">
        <v>0.1792</v>
      </c>
    </row>
    <row r="3527" spans="3:12">
      <c r="C3527" s="161">
        <f t="shared" si="216"/>
        <v>2020</v>
      </c>
      <c r="D3527" s="35" t="s">
        <v>312</v>
      </c>
      <c r="E3527" s="227">
        <v>44013</v>
      </c>
      <c r="F3527" s="156">
        <v>185752.76</v>
      </c>
      <c r="G3527" s="131">
        <f t="shared" si="217"/>
        <v>33286.894592000004</v>
      </c>
      <c r="H3527" s="156">
        <v>675.52</v>
      </c>
      <c r="I3527" s="156">
        <v>0</v>
      </c>
      <c r="J3527" s="156">
        <v>663.7</v>
      </c>
      <c r="K3527" s="131">
        <f t="shared" si="218"/>
        <v>1339.22</v>
      </c>
      <c r="L3527" s="134">
        <v>0.1792</v>
      </c>
    </row>
    <row r="3528" spans="3:12">
      <c r="C3528" s="161">
        <f t="shared" si="216"/>
        <v>2020</v>
      </c>
      <c r="D3528" s="35" t="s">
        <v>312</v>
      </c>
      <c r="E3528" s="227">
        <v>44044</v>
      </c>
      <c r="F3528" s="156">
        <v>206854.71</v>
      </c>
      <c r="G3528" s="131">
        <f t="shared" si="217"/>
        <v>37068.364031999998</v>
      </c>
      <c r="H3528" s="156">
        <v>10771.87</v>
      </c>
      <c r="I3528" s="156">
        <v>0</v>
      </c>
      <c r="J3528" s="156">
        <v>0</v>
      </c>
      <c r="K3528" s="131">
        <f t="shared" si="218"/>
        <v>10771.87</v>
      </c>
      <c r="L3528" s="134">
        <v>0.1792</v>
      </c>
    </row>
    <row r="3529" spans="3:12">
      <c r="C3529" s="161">
        <f t="shared" si="216"/>
        <v>2020</v>
      </c>
      <c r="D3529" s="35" t="s">
        <v>312</v>
      </c>
      <c r="E3529" s="227">
        <v>44075</v>
      </c>
      <c r="F3529" s="156">
        <v>227438.8</v>
      </c>
      <c r="G3529" s="131">
        <f t="shared" si="217"/>
        <v>40757.032959999997</v>
      </c>
      <c r="H3529" s="156">
        <v>765.4</v>
      </c>
      <c r="I3529" s="156">
        <v>0</v>
      </c>
      <c r="J3529" s="156">
        <v>0</v>
      </c>
      <c r="K3529" s="131">
        <f t="shared" si="218"/>
        <v>765.4</v>
      </c>
      <c r="L3529" s="134">
        <v>0.1792</v>
      </c>
    </row>
    <row r="3530" spans="3:12">
      <c r="C3530" s="161">
        <f t="shared" si="216"/>
        <v>2020</v>
      </c>
      <c r="D3530" s="35" t="s">
        <v>312</v>
      </c>
      <c r="E3530" s="227">
        <v>44105</v>
      </c>
      <c r="F3530" s="156">
        <v>232904.33</v>
      </c>
      <c r="G3530" s="131">
        <f t="shared" si="217"/>
        <v>41736.455935999998</v>
      </c>
      <c r="H3530" s="156">
        <v>52.56</v>
      </c>
      <c r="I3530" s="156">
        <v>505.75</v>
      </c>
      <c r="J3530" s="156">
        <v>469.02</v>
      </c>
      <c r="K3530" s="131">
        <f t="shared" si="218"/>
        <v>1027.33</v>
      </c>
      <c r="L3530" s="134">
        <v>0.1792</v>
      </c>
    </row>
    <row r="3531" spans="3:12">
      <c r="C3531" s="161">
        <f t="shared" si="216"/>
        <v>2020</v>
      </c>
      <c r="D3531" s="35" t="s">
        <v>312</v>
      </c>
      <c r="E3531" s="227">
        <v>44136</v>
      </c>
      <c r="F3531" s="156">
        <v>200992.57</v>
      </c>
      <c r="G3531" s="131">
        <f t="shared" si="217"/>
        <v>36017.868544000004</v>
      </c>
      <c r="H3531" s="156">
        <v>21975.279999999999</v>
      </c>
      <c r="I3531" s="156">
        <v>0</v>
      </c>
      <c r="J3531" s="156">
        <v>0</v>
      </c>
      <c r="K3531" s="131">
        <f t="shared" si="218"/>
        <v>21975.279999999999</v>
      </c>
      <c r="L3531" s="134">
        <v>0.1792</v>
      </c>
    </row>
    <row r="3532" spans="3:12">
      <c r="C3532" s="161">
        <f t="shared" si="216"/>
        <v>2020</v>
      </c>
      <c r="D3532" s="35" t="s">
        <v>312</v>
      </c>
      <c r="E3532" s="227">
        <v>44166</v>
      </c>
      <c r="F3532" s="156">
        <v>198135.15</v>
      </c>
      <c r="G3532" s="131">
        <f t="shared" si="217"/>
        <v>35505.818879999999</v>
      </c>
      <c r="H3532" s="156">
        <v>1671.78</v>
      </c>
      <c r="I3532" s="156">
        <v>0</v>
      </c>
      <c r="J3532" s="156">
        <v>0</v>
      </c>
      <c r="K3532" s="131">
        <f t="shared" si="218"/>
        <v>1671.78</v>
      </c>
      <c r="L3532" s="134">
        <v>0.1792</v>
      </c>
    </row>
    <row r="3533" spans="3:12">
      <c r="C3533" s="161">
        <f t="shared" si="216"/>
        <v>2021</v>
      </c>
      <c r="D3533" s="35" t="s">
        <v>312</v>
      </c>
      <c r="E3533" s="227">
        <v>44197</v>
      </c>
      <c r="F3533" s="156">
        <v>205605.9</v>
      </c>
      <c r="G3533" s="131">
        <f t="shared" si="217"/>
        <v>36844.577279999998</v>
      </c>
      <c r="H3533" s="156">
        <v>10553.38</v>
      </c>
      <c r="I3533" s="156">
        <v>13340.16</v>
      </c>
      <c r="J3533" s="156">
        <v>0</v>
      </c>
      <c r="K3533" s="131">
        <f t="shared" si="218"/>
        <v>23893.54</v>
      </c>
      <c r="L3533" s="134">
        <v>0.1792</v>
      </c>
    </row>
    <row r="3534" spans="3:12">
      <c r="C3534" s="161">
        <f t="shared" si="216"/>
        <v>2021</v>
      </c>
      <c r="D3534" s="35" t="s">
        <v>312</v>
      </c>
      <c r="E3534" s="227">
        <v>44229</v>
      </c>
      <c r="F3534" s="156">
        <v>189520.31</v>
      </c>
      <c r="G3534" s="131">
        <f t="shared" si="217"/>
        <v>33962.039552000002</v>
      </c>
      <c r="H3534" s="156">
        <v>2802.56</v>
      </c>
      <c r="I3534" s="156">
        <v>0</v>
      </c>
      <c r="J3534" s="156">
        <v>0</v>
      </c>
      <c r="K3534" s="131">
        <f t="shared" si="218"/>
        <v>2802.56</v>
      </c>
      <c r="L3534" s="134">
        <v>0.1792</v>
      </c>
    </row>
    <row r="3535" spans="3:12">
      <c r="C3535" s="161">
        <f t="shared" si="216"/>
        <v>2021</v>
      </c>
      <c r="D3535" s="35" t="s">
        <v>312</v>
      </c>
      <c r="E3535" s="227">
        <v>44258</v>
      </c>
      <c r="F3535" s="156">
        <v>174465.8</v>
      </c>
      <c r="G3535" s="131">
        <f t="shared" si="217"/>
        <v>31264.271359999999</v>
      </c>
      <c r="H3535" s="156">
        <v>5289.63</v>
      </c>
      <c r="I3535" s="156">
        <v>1593.28</v>
      </c>
      <c r="J3535" s="156">
        <v>0</v>
      </c>
      <c r="K3535" s="131">
        <f t="shared" si="218"/>
        <v>6882.91</v>
      </c>
      <c r="L3535" s="134">
        <v>0.1792</v>
      </c>
    </row>
    <row r="3536" spans="3:12">
      <c r="C3536" s="161">
        <f t="shared" si="216"/>
        <v>2021</v>
      </c>
      <c r="D3536" s="35" t="s">
        <v>312</v>
      </c>
      <c r="E3536" s="227">
        <v>44290</v>
      </c>
      <c r="F3536" s="156">
        <v>196991.74</v>
      </c>
      <c r="G3536" s="131">
        <f t="shared" si="217"/>
        <v>35300.919807999999</v>
      </c>
      <c r="H3536" s="156">
        <v>3293.23</v>
      </c>
      <c r="I3536" s="156">
        <v>0</v>
      </c>
      <c r="J3536" s="156">
        <v>0</v>
      </c>
      <c r="K3536" s="131">
        <f t="shared" si="218"/>
        <v>3293.23</v>
      </c>
      <c r="L3536" s="134">
        <v>0.1792</v>
      </c>
    </row>
    <row r="3537" spans="3:12">
      <c r="C3537" s="161">
        <f t="shared" si="216"/>
        <v>2021</v>
      </c>
      <c r="D3537" s="35" t="s">
        <v>312</v>
      </c>
      <c r="E3537" s="227">
        <v>44321</v>
      </c>
      <c r="F3537" s="156">
        <v>197337.74</v>
      </c>
      <c r="G3537" s="131">
        <f t="shared" si="217"/>
        <v>35362.923007999998</v>
      </c>
      <c r="H3537" s="156">
        <v>3838.71</v>
      </c>
      <c r="I3537" s="156">
        <v>0</v>
      </c>
      <c r="J3537" s="156">
        <v>0</v>
      </c>
      <c r="K3537" s="131">
        <f t="shared" si="218"/>
        <v>3838.71</v>
      </c>
      <c r="L3537" s="134">
        <v>0.1792</v>
      </c>
    </row>
    <row r="3538" spans="3:12">
      <c r="C3538" s="161">
        <f t="shared" si="216"/>
        <v>2021</v>
      </c>
      <c r="D3538" s="35" t="s">
        <v>312</v>
      </c>
      <c r="E3538" s="227">
        <v>44353</v>
      </c>
      <c r="F3538" s="156">
        <v>191307.07</v>
      </c>
      <c r="G3538" s="131">
        <f t="shared" si="217"/>
        <v>34282.226944000002</v>
      </c>
      <c r="H3538" s="156">
        <v>921.51</v>
      </c>
      <c r="I3538" s="156">
        <v>0</v>
      </c>
      <c r="J3538" s="156">
        <v>0</v>
      </c>
      <c r="K3538" s="131">
        <f t="shared" si="218"/>
        <v>921.51</v>
      </c>
      <c r="L3538" s="134">
        <v>0.1792</v>
      </c>
    </row>
    <row r="3539" spans="3:12">
      <c r="C3539" s="161">
        <f t="shared" si="216"/>
        <v>2015</v>
      </c>
      <c r="D3539" s="35" t="s">
        <v>313</v>
      </c>
      <c r="E3539" s="227">
        <v>42309</v>
      </c>
      <c r="F3539" s="156">
        <v>1711103.33</v>
      </c>
      <c r="G3539" s="131">
        <f t="shared" si="217"/>
        <v>306629.71673600003</v>
      </c>
      <c r="H3539" s="156">
        <v>479431.9</v>
      </c>
      <c r="I3539" s="156">
        <v>60867.68</v>
      </c>
      <c r="J3539" s="156">
        <v>10659.16</v>
      </c>
      <c r="K3539" s="131">
        <f t="shared" si="218"/>
        <v>550958.74000000011</v>
      </c>
      <c r="L3539" s="134">
        <v>0.1792</v>
      </c>
    </row>
    <row r="3540" spans="3:12">
      <c r="C3540" s="161">
        <f t="shared" si="216"/>
        <v>2015</v>
      </c>
      <c r="D3540" s="35" t="s">
        <v>313</v>
      </c>
      <c r="E3540" s="227">
        <v>42339</v>
      </c>
      <c r="F3540" s="156">
        <v>1677088.23</v>
      </c>
      <c r="G3540" s="131">
        <f t="shared" si="217"/>
        <v>300534.21081600001</v>
      </c>
      <c r="H3540" s="156">
        <v>101715.84</v>
      </c>
      <c r="I3540" s="156">
        <v>6762.19</v>
      </c>
      <c r="J3540" s="156">
        <v>0</v>
      </c>
      <c r="K3540" s="131">
        <f t="shared" si="218"/>
        <v>108478.03</v>
      </c>
      <c r="L3540" s="134">
        <v>0.1792</v>
      </c>
    </row>
    <row r="3541" spans="3:12">
      <c r="C3541" s="161">
        <f t="shared" si="216"/>
        <v>2016</v>
      </c>
      <c r="D3541" s="35" t="s">
        <v>313</v>
      </c>
      <c r="E3541" s="227">
        <v>42370</v>
      </c>
      <c r="F3541" s="156">
        <v>1694409.35</v>
      </c>
      <c r="G3541" s="131">
        <f t="shared" si="217"/>
        <v>303638.15552000003</v>
      </c>
      <c r="H3541" s="156">
        <v>146418.28</v>
      </c>
      <c r="I3541" s="156">
        <v>172846.73</v>
      </c>
      <c r="J3541" s="156">
        <v>1760</v>
      </c>
      <c r="K3541" s="131">
        <f t="shared" si="218"/>
        <v>321025.01</v>
      </c>
      <c r="L3541" s="134">
        <v>0.1792</v>
      </c>
    </row>
    <row r="3542" spans="3:12">
      <c r="C3542" s="161">
        <f t="shared" si="216"/>
        <v>2016</v>
      </c>
      <c r="D3542" s="35" t="s">
        <v>313</v>
      </c>
      <c r="E3542" s="227">
        <v>42401</v>
      </c>
      <c r="F3542" s="156">
        <v>1838804.41</v>
      </c>
      <c r="G3542" s="131">
        <f t="shared" si="217"/>
        <v>329513.75027199998</v>
      </c>
      <c r="H3542" s="156">
        <v>473256.17</v>
      </c>
      <c r="I3542" s="156">
        <v>975.02</v>
      </c>
      <c r="J3542" s="156">
        <v>0</v>
      </c>
      <c r="K3542" s="131">
        <f t="shared" si="218"/>
        <v>474231.19</v>
      </c>
      <c r="L3542" s="134">
        <v>0.1792</v>
      </c>
    </row>
    <row r="3543" spans="3:12">
      <c r="C3543" s="161">
        <f t="shared" si="216"/>
        <v>2016</v>
      </c>
      <c r="D3543" s="35" t="s">
        <v>313</v>
      </c>
      <c r="E3543" s="227">
        <v>42430</v>
      </c>
      <c r="F3543" s="156">
        <v>1529319.47</v>
      </c>
      <c r="G3543" s="131">
        <f t="shared" si="217"/>
        <v>274054.04902400001</v>
      </c>
      <c r="H3543" s="156">
        <v>535809.31000000006</v>
      </c>
      <c r="I3543" s="156">
        <v>34999.31</v>
      </c>
      <c r="J3543" s="156">
        <v>0</v>
      </c>
      <c r="K3543" s="131">
        <f t="shared" si="218"/>
        <v>570808.62000000011</v>
      </c>
      <c r="L3543" s="134">
        <v>0.1792</v>
      </c>
    </row>
    <row r="3544" spans="3:12">
      <c r="C3544" s="161">
        <f t="shared" si="216"/>
        <v>2016</v>
      </c>
      <c r="D3544" s="35" t="s">
        <v>313</v>
      </c>
      <c r="E3544" s="227">
        <v>42461</v>
      </c>
      <c r="F3544" s="156">
        <v>1783954.71</v>
      </c>
      <c r="G3544" s="131">
        <f t="shared" si="217"/>
        <v>319684.68403199996</v>
      </c>
      <c r="H3544" s="156">
        <v>1034367.46</v>
      </c>
      <c r="I3544" s="156">
        <v>2626.78</v>
      </c>
      <c r="J3544" s="156">
        <v>6645</v>
      </c>
      <c r="K3544" s="131">
        <f t="shared" si="218"/>
        <v>1043639.24</v>
      </c>
      <c r="L3544" s="134">
        <v>0.1792</v>
      </c>
    </row>
    <row r="3545" spans="3:12">
      <c r="C3545" s="161">
        <f t="shared" si="216"/>
        <v>2016</v>
      </c>
      <c r="D3545" s="35" t="s">
        <v>313</v>
      </c>
      <c r="E3545" s="227">
        <v>42491</v>
      </c>
      <c r="F3545" s="156">
        <v>1703948.69</v>
      </c>
      <c r="G3545" s="131">
        <f t="shared" si="217"/>
        <v>305347.60524800001</v>
      </c>
      <c r="H3545" s="156">
        <v>41723.19</v>
      </c>
      <c r="I3545" s="156">
        <v>228577.38</v>
      </c>
      <c r="J3545" s="156">
        <v>0</v>
      </c>
      <c r="K3545" s="131">
        <f t="shared" si="218"/>
        <v>270300.57</v>
      </c>
      <c r="L3545" s="134">
        <v>0.1792</v>
      </c>
    </row>
    <row r="3546" spans="3:12">
      <c r="C3546" s="161">
        <f t="shared" si="216"/>
        <v>2016</v>
      </c>
      <c r="D3546" s="35" t="s">
        <v>313</v>
      </c>
      <c r="E3546" s="227">
        <v>42522</v>
      </c>
      <c r="F3546" s="156">
        <v>1623794.81</v>
      </c>
      <c r="G3546" s="131">
        <f t="shared" si="217"/>
        <v>290984.02995200001</v>
      </c>
      <c r="H3546" s="156">
        <v>30336.04</v>
      </c>
      <c r="I3546" s="156">
        <v>112099.82</v>
      </c>
      <c r="J3546" s="156">
        <v>44299.88</v>
      </c>
      <c r="K3546" s="131">
        <f t="shared" si="218"/>
        <v>186735.74000000002</v>
      </c>
      <c r="L3546" s="134">
        <v>0.1792</v>
      </c>
    </row>
    <row r="3547" spans="3:12">
      <c r="C3547" s="161">
        <f t="shared" si="216"/>
        <v>2016</v>
      </c>
      <c r="D3547" s="35" t="s">
        <v>313</v>
      </c>
      <c r="E3547" s="227">
        <v>42552</v>
      </c>
      <c r="F3547" s="156">
        <v>1858438.33</v>
      </c>
      <c r="G3547" s="131">
        <f t="shared" si="217"/>
        <v>333032.148736</v>
      </c>
      <c r="H3547" s="156">
        <v>465105.26</v>
      </c>
      <c r="I3547" s="156">
        <v>305674.34000000003</v>
      </c>
      <c r="J3547" s="156">
        <v>0</v>
      </c>
      <c r="K3547" s="131">
        <f t="shared" si="218"/>
        <v>770779.60000000009</v>
      </c>
      <c r="L3547" s="134">
        <v>0.1792</v>
      </c>
    </row>
    <row r="3548" spans="3:12">
      <c r="C3548" s="161">
        <f t="shared" si="216"/>
        <v>2016</v>
      </c>
      <c r="D3548" s="35" t="s">
        <v>313</v>
      </c>
      <c r="E3548" s="227">
        <v>42583</v>
      </c>
      <c r="F3548" s="156">
        <v>1899730.23</v>
      </c>
      <c r="G3548" s="131">
        <f t="shared" si="217"/>
        <v>340431.65721600002</v>
      </c>
      <c r="H3548" s="156">
        <v>833660.79</v>
      </c>
      <c r="I3548" s="156">
        <v>14115.33</v>
      </c>
      <c r="J3548" s="156">
        <v>0</v>
      </c>
      <c r="K3548" s="131">
        <f t="shared" si="218"/>
        <v>847776.12</v>
      </c>
      <c r="L3548" s="134">
        <v>0.1792</v>
      </c>
    </row>
    <row r="3549" spans="3:12">
      <c r="C3549" s="161">
        <f t="shared" si="216"/>
        <v>2016</v>
      </c>
      <c r="D3549" s="35" t="s">
        <v>313</v>
      </c>
      <c r="E3549" s="227">
        <v>42614</v>
      </c>
      <c r="F3549" s="156">
        <v>1951361.16</v>
      </c>
      <c r="G3549" s="131">
        <f t="shared" si="217"/>
        <v>349683.919872</v>
      </c>
      <c r="H3549" s="156">
        <v>39611.1</v>
      </c>
      <c r="I3549" s="156">
        <v>1384.38</v>
      </c>
      <c r="J3549" s="156">
        <v>0</v>
      </c>
      <c r="K3549" s="131">
        <f t="shared" si="218"/>
        <v>40995.479999999996</v>
      </c>
      <c r="L3549" s="134">
        <v>0.1792</v>
      </c>
    </row>
    <row r="3550" spans="3:12">
      <c r="C3550" s="161">
        <f t="shared" si="216"/>
        <v>2016</v>
      </c>
      <c r="D3550" s="35" t="s">
        <v>313</v>
      </c>
      <c r="E3550" s="227">
        <v>42644</v>
      </c>
      <c r="F3550" s="156">
        <v>1919039.28</v>
      </c>
      <c r="G3550" s="131">
        <f t="shared" si="217"/>
        <v>343891.83897600003</v>
      </c>
      <c r="H3550" s="156">
        <v>416253.23</v>
      </c>
      <c r="I3550" s="156">
        <v>10560.58</v>
      </c>
      <c r="J3550" s="156">
        <v>2453.5</v>
      </c>
      <c r="K3550" s="131">
        <f t="shared" si="218"/>
        <v>429267.31</v>
      </c>
      <c r="L3550" s="134">
        <v>0.1792</v>
      </c>
    </row>
    <row r="3551" spans="3:12">
      <c r="C3551" s="161">
        <f t="shared" si="216"/>
        <v>2016</v>
      </c>
      <c r="D3551" s="35" t="s">
        <v>313</v>
      </c>
      <c r="E3551" s="227">
        <v>42675</v>
      </c>
      <c r="F3551" s="156">
        <v>2121668.12</v>
      </c>
      <c r="G3551" s="131">
        <f t="shared" si="217"/>
        <v>380202.927104</v>
      </c>
      <c r="H3551" s="156">
        <v>42474.8</v>
      </c>
      <c r="I3551" s="156">
        <v>40577.24</v>
      </c>
      <c r="J3551" s="156">
        <v>610</v>
      </c>
      <c r="K3551" s="131">
        <f t="shared" si="218"/>
        <v>83662.040000000008</v>
      </c>
      <c r="L3551" s="134">
        <v>0.1792</v>
      </c>
    </row>
    <row r="3552" spans="3:12">
      <c r="C3552" s="161">
        <f t="shared" si="216"/>
        <v>2016</v>
      </c>
      <c r="D3552" s="35" t="s">
        <v>313</v>
      </c>
      <c r="E3552" s="227">
        <v>42705</v>
      </c>
      <c r="F3552" s="156">
        <v>1980852.69</v>
      </c>
      <c r="G3552" s="131">
        <f t="shared" si="217"/>
        <v>354968.80204799998</v>
      </c>
      <c r="H3552" s="156">
        <v>215903.67</v>
      </c>
      <c r="I3552" s="156">
        <v>1448.83</v>
      </c>
      <c r="J3552" s="156">
        <v>12576.4</v>
      </c>
      <c r="K3552" s="131">
        <f t="shared" si="218"/>
        <v>229928.9</v>
      </c>
      <c r="L3552" s="134">
        <v>0.1792</v>
      </c>
    </row>
    <row r="3553" spans="3:12">
      <c r="C3553" s="161">
        <f t="shared" si="216"/>
        <v>2017</v>
      </c>
      <c r="D3553" s="35" t="s">
        <v>313</v>
      </c>
      <c r="E3553" s="227">
        <v>42736</v>
      </c>
      <c r="F3553" s="156">
        <v>2052379.05</v>
      </c>
      <c r="G3553" s="131">
        <f t="shared" si="217"/>
        <v>367786.32575999998</v>
      </c>
      <c r="H3553" s="156">
        <v>113452.67</v>
      </c>
      <c r="I3553" s="156">
        <v>44436.29</v>
      </c>
      <c r="J3553" s="156">
        <v>7750.47</v>
      </c>
      <c r="K3553" s="131">
        <f t="shared" si="218"/>
        <v>165639.43</v>
      </c>
      <c r="L3553" s="134">
        <v>0.1792</v>
      </c>
    </row>
    <row r="3554" spans="3:12">
      <c r="C3554" s="161">
        <f t="shared" si="216"/>
        <v>2017</v>
      </c>
      <c r="D3554" s="35" t="s">
        <v>313</v>
      </c>
      <c r="E3554" s="227">
        <v>42767</v>
      </c>
      <c r="F3554" s="156">
        <v>1926543.29</v>
      </c>
      <c r="G3554" s="131">
        <f t="shared" si="217"/>
        <v>345236.55756799999</v>
      </c>
      <c r="H3554" s="156">
        <v>600780.15</v>
      </c>
      <c r="I3554" s="156">
        <v>2744.67</v>
      </c>
      <c r="J3554" s="156">
        <v>2870.37</v>
      </c>
      <c r="K3554" s="131">
        <f t="shared" si="218"/>
        <v>606395.19000000006</v>
      </c>
      <c r="L3554" s="134">
        <v>0.1792</v>
      </c>
    </row>
    <row r="3555" spans="3:12">
      <c r="C3555" s="161">
        <f t="shared" si="216"/>
        <v>2017</v>
      </c>
      <c r="D3555" s="35" t="s">
        <v>313</v>
      </c>
      <c r="E3555" s="227">
        <v>42795</v>
      </c>
      <c r="F3555" s="156">
        <v>2040332.7</v>
      </c>
      <c r="G3555" s="131">
        <f t="shared" si="217"/>
        <v>365627.61984</v>
      </c>
      <c r="H3555" s="156">
        <v>237356.1</v>
      </c>
      <c r="I3555" s="156">
        <v>60325.81</v>
      </c>
      <c r="J3555" s="156">
        <v>0</v>
      </c>
      <c r="K3555" s="131">
        <f t="shared" si="218"/>
        <v>297681.91000000003</v>
      </c>
      <c r="L3555" s="134">
        <v>0.1792</v>
      </c>
    </row>
    <row r="3556" spans="3:12">
      <c r="C3556" s="161">
        <f t="shared" si="216"/>
        <v>2017</v>
      </c>
      <c r="D3556" s="35" t="s">
        <v>313</v>
      </c>
      <c r="E3556" s="227">
        <v>42826</v>
      </c>
      <c r="F3556" s="156">
        <v>1883515.14</v>
      </c>
      <c r="G3556" s="131">
        <f t="shared" si="217"/>
        <v>337525.91308799997</v>
      </c>
      <c r="H3556" s="156">
        <v>854637.39</v>
      </c>
      <c r="I3556" s="156">
        <v>978.38</v>
      </c>
      <c r="J3556" s="156">
        <v>0</v>
      </c>
      <c r="K3556" s="131">
        <f t="shared" si="218"/>
        <v>855615.77</v>
      </c>
      <c r="L3556" s="134">
        <v>0.1792</v>
      </c>
    </row>
    <row r="3557" spans="3:12">
      <c r="C3557" s="161">
        <f t="shared" si="216"/>
        <v>2017</v>
      </c>
      <c r="D3557" s="35" t="s">
        <v>313</v>
      </c>
      <c r="E3557" s="227">
        <v>42856</v>
      </c>
      <c r="F3557" s="156">
        <v>1904567.41</v>
      </c>
      <c r="G3557" s="131">
        <f t="shared" si="217"/>
        <v>341298.479872</v>
      </c>
      <c r="H3557" s="156">
        <v>267541</v>
      </c>
      <c r="I3557" s="156">
        <v>72744.710000000006</v>
      </c>
      <c r="J3557" s="156">
        <v>943.74</v>
      </c>
      <c r="K3557" s="131">
        <f t="shared" si="218"/>
        <v>341229.45</v>
      </c>
      <c r="L3557" s="134">
        <v>0.1792</v>
      </c>
    </row>
    <row r="3558" spans="3:12">
      <c r="C3558" s="161">
        <f t="shared" si="216"/>
        <v>2017</v>
      </c>
      <c r="D3558" s="35" t="s">
        <v>313</v>
      </c>
      <c r="E3558" s="227">
        <v>42887</v>
      </c>
      <c r="F3558" s="156">
        <v>1954369.77</v>
      </c>
      <c r="G3558" s="131">
        <f t="shared" si="217"/>
        <v>350223.06278400001</v>
      </c>
      <c r="H3558" s="156">
        <v>383752.24</v>
      </c>
      <c r="I3558" s="156">
        <v>27918.19</v>
      </c>
      <c r="J3558" s="156">
        <v>0</v>
      </c>
      <c r="K3558" s="131">
        <f t="shared" si="218"/>
        <v>411670.43</v>
      </c>
      <c r="L3558" s="134">
        <v>0.1792</v>
      </c>
    </row>
    <row r="3559" spans="3:12">
      <c r="C3559" s="161">
        <f t="shared" si="216"/>
        <v>2017</v>
      </c>
      <c r="D3559" s="35" t="s">
        <v>313</v>
      </c>
      <c r="E3559" s="227">
        <v>42917</v>
      </c>
      <c r="F3559" s="156">
        <v>1981217.63</v>
      </c>
      <c r="G3559" s="131">
        <f t="shared" si="217"/>
        <v>355034.19929599995</v>
      </c>
      <c r="H3559" s="156">
        <v>315637.59999999998</v>
      </c>
      <c r="I3559" s="156">
        <v>19944.02</v>
      </c>
      <c r="J3559" s="156">
        <v>190530.4</v>
      </c>
      <c r="K3559" s="131">
        <f t="shared" si="218"/>
        <v>526112.02</v>
      </c>
      <c r="L3559" s="134">
        <v>0.1792</v>
      </c>
    </row>
    <row r="3560" spans="3:12">
      <c r="C3560" s="161">
        <f t="shared" si="216"/>
        <v>2017</v>
      </c>
      <c r="D3560" s="35" t="s">
        <v>313</v>
      </c>
      <c r="E3560" s="227">
        <v>42948</v>
      </c>
      <c r="F3560" s="156">
        <v>2130532.89</v>
      </c>
      <c r="G3560" s="131">
        <f t="shared" si="217"/>
        <v>381791.49388800003</v>
      </c>
      <c r="H3560" s="156">
        <v>154196.97</v>
      </c>
      <c r="I3560" s="156">
        <v>298233.52</v>
      </c>
      <c r="J3560" s="156">
        <v>0</v>
      </c>
      <c r="K3560" s="131">
        <f t="shared" si="218"/>
        <v>452430.49</v>
      </c>
      <c r="L3560" s="134">
        <v>0.1792</v>
      </c>
    </row>
    <row r="3561" spans="3:12">
      <c r="C3561" s="161">
        <f t="shared" si="216"/>
        <v>2017</v>
      </c>
      <c r="D3561" s="35" t="s">
        <v>313</v>
      </c>
      <c r="E3561" s="227">
        <v>42979</v>
      </c>
      <c r="F3561" s="156">
        <v>2309318.56</v>
      </c>
      <c r="G3561" s="131">
        <f t="shared" si="217"/>
        <v>413829.88595199998</v>
      </c>
      <c r="H3561" s="156">
        <v>186128.58</v>
      </c>
      <c r="I3561" s="156">
        <v>2476.63</v>
      </c>
      <c r="J3561" s="156">
        <v>0</v>
      </c>
      <c r="K3561" s="131">
        <f t="shared" si="218"/>
        <v>188605.21</v>
      </c>
      <c r="L3561" s="134">
        <v>0.1792</v>
      </c>
    </row>
    <row r="3562" spans="3:12">
      <c r="C3562" s="161">
        <f t="shared" si="216"/>
        <v>2017</v>
      </c>
      <c r="D3562" s="35" t="s">
        <v>313</v>
      </c>
      <c r="E3562" s="227">
        <v>43009</v>
      </c>
      <c r="F3562" s="156">
        <v>2188346.2599999998</v>
      </c>
      <c r="G3562" s="131">
        <f t="shared" si="217"/>
        <v>392151.64979199995</v>
      </c>
      <c r="H3562" s="156">
        <v>127851.62</v>
      </c>
      <c r="I3562" s="156">
        <v>57284.37</v>
      </c>
      <c r="J3562" s="156">
        <v>0</v>
      </c>
      <c r="K3562" s="131">
        <f t="shared" si="218"/>
        <v>185135.99</v>
      </c>
      <c r="L3562" s="134">
        <v>0.1792</v>
      </c>
    </row>
    <row r="3563" spans="3:12">
      <c r="C3563" s="161">
        <f t="shared" si="216"/>
        <v>2017</v>
      </c>
      <c r="D3563" s="35" t="s">
        <v>313</v>
      </c>
      <c r="E3563" s="227">
        <v>43040</v>
      </c>
      <c r="F3563" s="156">
        <v>2232016.25</v>
      </c>
      <c r="G3563" s="131">
        <f t="shared" si="217"/>
        <v>399977.31199999998</v>
      </c>
      <c r="H3563" s="156">
        <v>234335.86</v>
      </c>
      <c r="I3563" s="156">
        <v>9550.75</v>
      </c>
      <c r="J3563" s="156">
        <v>0</v>
      </c>
      <c r="K3563" s="131">
        <f t="shared" si="218"/>
        <v>243886.61</v>
      </c>
      <c r="L3563" s="134">
        <v>0.1792</v>
      </c>
    </row>
    <row r="3564" spans="3:12">
      <c r="C3564" s="161">
        <f t="shared" si="216"/>
        <v>2017</v>
      </c>
      <c r="D3564" s="35" t="s">
        <v>313</v>
      </c>
      <c r="E3564" s="227">
        <v>43070</v>
      </c>
      <c r="F3564" s="156">
        <v>2197248.5099999998</v>
      </c>
      <c r="G3564" s="131">
        <f t="shared" si="217"/>
        <v>393746.93299199996</v>
      </c>
      <c r="H3564" s="156">
        <v>24220.25</v>
      </c>
      <c r="I3564" s="156">
        <v>71832.800000000003</v>
      </c>
      <c r="J3564" s="156">
        <v>0</v>
      </c>
      <c r="K3564" s="131">
        <f t="shared" si="218"/>
        <v>96053.05</v>
      </c>
      <c r="L3564" s="134">
        <v>0.1792</v>
      </c>
    </row>
    <row r="3565" spans="3:12">
      <c r="C3565" s="161">
        <f t="shared" si="216"/>
        <v>2018</v>
      </c>
      <c r="D3565" s="35" t="s">
        <v>313</v>
      </c>
      <c r="E3565" s="227">
        <v>43101</v>
      </c>
      <c r="F3565" s="156">
        <v>2163078.46</v>
      </c>
      <c r="G3565" s="131">
        <f t="shared" si="217"/>
        <v>387623.66003199999</v>
      </c>
      <c r="H3565" s="156">
        <v>272912.27</v>
      </c>
      <c r="I3565" s="156">
        <v>116964.24</v>
      </c>
      <c r="J3565" s="156">
        <v>0</v>
      </c>
      <c r="K3565" s="131">
        <f t="shared" si="218"/>
        <v>389876.51</v>
      </c>
      <c r="L3565" s="134">
        <v>0.1792</v>
      </c>
    </row>
    <row r="3566" spans="3:12">
      <c r="C3566" s="161">
        <f t="shared" si="216"/>
        <v>2018</v>
      </c>
      <c r="D3566" s="35" t="s">
        <v>313</v>
      </c>
      <c r="E3566" s="227">
        <v>43132</v>
      </c>
      <c r="F3566" s="156">
        <v>2304109.7599999998</v>
      </c>
      <c r="G3566" s="131">
        <f t="shared" si="217"/>
        <v>412896.46899199998</v>
      </c>
      <c r="H3566" s="156">
        <v>529364.26</v>
      </c>
      <c r="I3566" s="156">
        <v>924.89</v>
      </c>
      <c r="J3566" s="156">
        <v>0</v>
      </c>
      <c r="K3566" s="131">
        <f t="shared" si="218"/>
        <v>530289.15</v>
      </c>
      <c r="L3566" s="134">
        <v>0.1792</v>
      </c>
    </row>
    <row r="3567" spans="3:12">
      <c r="C3567" s="161">
        <f t="shared" si="216"/>
        <v>2018</v>
      </c>
      <c r="D3567" s="35" t="s">
        <v>313</v>
      </c>
      <c r="E3567" s="227">
        <v>43160</v>
      </c>
      <c r="F3567" s="156">
        <v>2070123.32</v>
      </c>
      <c r="G3567" s="131">
        <f t="shared" si="217"/>
        <v>370966.09894400003</v>
      </c>
      <c r="H3567" s="156">
        <v>477290.75</v>
      </c>
      <c r="I3567" s="156">
        <v>2882.9</v>
      </c>
      <c r="J3567" s="156">
        <v>363.33</v>
      </c>
      <c r="K3567" s="131">
        <f t="shared" si="218"/>
        <v>480536.98000000004</v>
      </c>
      <c r="L3567" s="134">
        <v>0.1792</v>
      </c>
    </row>
    <row r="3568" spans="3:12">
      <c r="C3568" s="161">
        <f t="shared" si="216"/>
        <v>2018</v>
      </c>
      <c r="D3568" s="35" t="s">
        <v>313</v>
      </c>
      <c r="E3568" s="227">
        <v>43191</v>
      </c>
      <c r="F3568" s="156">
        <v>2331116.27</v>
      </c>
      <c r="G3568" s="131">
        <f t="shared" si="217"/>
        <v>417736.035584</v>
      </c>
      <c r="H3568" s="156">
        <v>493871.47</v>
      </c>
      <c r="I3568" s="156">
        <v>8552.39</v>
      </c>
      <c r="J3568" s="156">
        <v>0</v>
      </c>
      <c r="K3568" s="131">
        <f t="shared" si="218"/>
        <v>502423.86</v>
      </c>
      <c r="L3568" s="134">
        <v>0.1792</v>
      </c>
    </row>
    <row r="3569" spans="3:12">
      <c r="C3569" s="161">
        <f t="shared" si="216"/>
        <v>2018</v>
      </c>
      <c r="D3569" s="35" t="s">
        <v>313</v>
      </c>
      <c r="E3569" s="227">
        <v>43221</v>
      </c>
      <c r="F3569" s="156">
        <v>2283932.83</v>
      </c>
      <c r="G3569" s="131">
        <f t="shared" si="217"/>
        <v>409280.76313600002</v>
      </c>
      <c r="H3569" s="156">
        <v>1184020.8</v>
      </c>
      <c r="I3569" s="156">
        <v>476901.58</v>
      </c>
      <c r="J3569" s="156">
        <v>0</v>
      </c>
      <c r="K3569" s="131">
        <f t="shared" si="218"/>
        <v>1660922.3800000001</v>
      </c>
      <c r="L3569" s="134">
        <v>0.1792</v>
      </c>
    </row>
    <row r="3570" spans="3:12">
      <c r="C3570" s="161">
        <f t="shared" si="216"/>
        <v>2018</v>
      </c>
      <c r="D3570" s="35" t="s">
        <v>313</v>
      </c>
      <c r="E3570" s="227">
        <v>43252</v>
      </c>
      <c r="F3570" s="156">
        <v>2231055.12</v>
      </c>
      <c r="G3570" s="131">
        <f t="shared" si="217"/>
        <v>399805.07750400004</v>
      </c>
      <c r="H3570" s="156">
        <v>268717.5</v>
      </c>
      <c r="I3570" s="156">
        <v>2650.98</v>
      </c>
      <c r="J3570" s="156">
        <v>0</v>
      </c>
      <c r="K3570" s="131">
        <f t="shared" si="218"/>
        <v>271368.48</v>
      </c>
      <c r="L3570" s="134">
        <v>0.1792</v>
      </c>
    </row>
    <row r="3571" spans="3:12">
      <c r="C3571" s="161">
        <f t="shared" si="216"/>
        <v>2018</v>
      </c>
      <c r="D3571" s="35" t="s">
        <v>313</v>
      </c>
      <c r="E3571" s="227">
        <v>43282</v>
      </c>
      <c r="F3571" s="156">
        <v>2266116.42</v>
      </c>
      <c r="G3571" s="131">
        <f t="shared" si="217"/>
        <v>406088.06246399996</v>
      </c>
      <c r="H3571" s="156">
        <v>1084287.49</v>
      </c>
      <c r="I3571" s="156">
        <v>3077.85</v>
      </c>
      <c r="J3571" s="156">
        <v>0</v>
      </c>
      <c r="K3571" s="131">
        <f t="shared" si="218"/>
        <v>1087365.3400000001</v>
      </c>
      <c r="L3571" s="134">
        <v>0.1792</v>
      </c>
    </row>
    <row r="3572" spans="3:12">
      <c r="C3572" s="161">
        <f t="shared" si="216"/>
        <v>2018</v>
      </c>
      <c r="D3572" s="35" t="s">
        <v>313</v>
      </c>
      <c r="E3572" s="227">
        <v>43313</v>
      </c>
      <c r="F3572" s="156">
        <v>2114482.79</v>
      </c>
      <c r="G3572" s="131">
        <f t="shared" si="217"/>
        <v>378915.31596799998</v>
      </c>
      <c r="H3572" s="156">
        <v>751778.27</v>
      </c>
      <c r="I3572" s="156">
        <v>5849.71</v>
      </c>
      <c r="J3572" s="156">
        <v>0</v>
      </c>
      <c r="K3572" s="131">
        <f t="shared" si="218"/>
        <v>757627.98</v>
      </c>
      <c r="L3572" s="134">
        <v>0.1792</v>
      </c>
    </row>
    <row r="3573" spans="3:12">
      <c r="C3573" s="161">
        <f t="shared" si="216"/>
        <v>2018</v>
      </c>
      <c r="D3573" s="35" t="s">
        <v>313</v>
      </c>
      <c r="E3573" s="227">
        <v>43344</v>
      </c>
      <c r="F3573" s="156">
        <v>2261762.2000000002</v>
      </c>
      <c r="G3573" s="131">
        <f t="shared" si="217"/>
        <v>405307.78624000004</v>
      </c>
      <c r="H3573" s="156">
        <v>40828.14</v>
      </c>
      <c r="I3573" s="156">
        <v>38509.79</v>
      </c>
      <c r="J3573" s="156">
        <v>0</v>
      </c>
      <c r="K3573" s="131">
        <f t="shared" si="218"/>
        <v>79337.929999999993</v>
      </c>
      <c r="L3573" s="134">
        <v>0.1792</v>
      </c>
    </row>
    <row r="3574" spans="3:12">
      <c r="C3574" s="161">
        <f t="shared" si="216"/>
        <v>2018</v>
      </c>
      <c r="D3574" s="35" t="s">
        <v>313</v>
      </c>
      <c r="E3574" s="227">
        <v>43374</v>
      </c>
      <c r="F3574" s="156">
        <v>2298950.0299999998</v>
      </c>
      <c r="G3574" s="131">
        <f t="shared" si="217"/>
        <v>411971.84537599998</v>
      </c>
      <c r="H3574" s="156">
        <v>1457474.09</v>
      </c>
      <c r="I3574" s="156">
        <v>4286.55</v>
      </c>
      <c r="J3574" s="156">
        <v>0</v>
      </c>
      <c r="K3574" s="131">
        <f t="shared" si="218"/>
        <v>1461760.6400000001</v>
      </c>
      <c r="L3574" s="134">
        <v>0.1792</v>
      </c>
    </row>
    <row r="3575" spans="3:12">
      <c r="C3575" s="161">
        <f t="shared" si="216"/>
        <v>2018</v>
      </c>
      <c r="D3575" s="35" t="s">
        <v>313</v>
      </c>
      <c r="E3575" s="227">
        <v>43405</v>
      </c>
      <c r="F3575" s="156">
        <v>2432764.8798750001</v>
      </c>
      <c r="G3575" s="131">
        <f t="shared" si="217"/>
        <v>435951.46647360001</v>
      </c>
      <c r="H3575" s="156">
        <v>379086.05</v>
      </c>
      <c r="I3575" s="156">
        <v>6801.29</v>
      </c>
      <c r="J3575" s="156">
        <v>87670</v>
      </c>
      <c r="K3575" s="131">
        <f t="shared" si="218"/>
        <v>473557.33999999997</v>
      </c>
      <c r="L3575" s="134">
        <v>0.1792</v>
      </c>
    </row>
    <row r="3576" spans="3:12">
      <c r="C3576" s="161">
        <f t="shared" si="216"/>
        <v>2018</v>
      </c>
      <c r="D3576" s="35" t="s">
        <v>313</v>
      </c>
      <c r="E3576" s="227">
        <v>43435</v>
      </c>
      <c r="F3576" s="156">
        <v>2301530.0299999998</v>
      </c>
      <c r="G3576" s="131">
        <f t="shared" si="217"/>
        <v>412434.18137599993</v>
      </c>
      <c r="H3576" s="156">
        <v>618145.19999999995</v>
      </c>
      <c r="I3576" s="156">
        <v>4153.3900000000003</v>
      </c>
      <c r="J3576" s="156" t="s">
        <v>267</v>
      </c>
      <c r="K3576" s="131">
        <f t="shared" si="218"/>
        <v>622298.59</v>
      </c>
      <c r="L3576" s="134">
        <v>0.1792</v>
      </c>
    </row>
    <row r="3577" spans="3:12">
      <c r="C3577" s="161">
        <f t="shared" si="216"/>
        <v>2019</v>
      </c>
      <c r="D3577" s="35" t="s">
        <v>313</v>
      </c>
      <c r="E3577" s="227">
        <v>43466</v>
      </c>
      <c r="F3577" s="156">
        <v>2574418.1</v>
      </c>
      <c r="G3577" s="131">
        <f t="shared" si="217"/>
        <v>461335.72352</v>
      </c>
      <c r="H3577" s="156">
        <v>193325.92</v>
      </c>
      <c r="I3577" s="156">
        <v>232805.42</v>
      </c>
      <c r="J3577" s="156">
        <v>472.09</v>
      </c>
      <c r="K3577" s="131">
        <f t="shared" si="218"/>
        <v>426603.43000000005</v>
      </c>
      <c r="L3577" s="134">
        <v>0.1792</v>
      </c>
    </row>
    <row r="3578" spans="3:12">
      <c r="C3578" s="161">
        <f t="shared" si="216"/>
        <v>2019</v>
      </c>
      <c r="D3578" s="35" t="s">
        <v>313</v>
      </c>
      <c r="E3578" s="227">
        <v>43497</v>
      </c>
      <c r="F3578" s="156">
        <v>2538609.36</v>
      </c>
      <c r="G3578" s="131">
        <f t="shared" si="217"/>
        <v>454918.79731199995</v>
      </c>
      <c r="H3578" s="156">
        <v>102108.61</v>
      </c>
      <c r="I3578" s="156">
        <v>281157.68</v>
      </c>
      <c r="J3578" s="156">
        <v>0</v>
      </c>
      <c r="K3578" s="131">
        <f t="shared" si="218"/>
        <v>383266.29</v>
      </c>
      <c r="L3578" s="134">
        <v>0.1792</v>
      </c>
    </row>
    <row r="3579" spans="3:12">
      <c r="C3579" s="161">
        <f t="shared" si="216"/>
        <v>2019</v>
      </c>
      <c r="D3579" s="35" t="s">
        <v>313</v>
      </c>
      <c r="E3579" s="227">
        <v>43525</v>
      </c>
      <c r="F3579" s="156">
        <v>2194677.89</v>
      </c>
      <c r="G3579" s="131">
        <f t="shared" si="217"/>
        <v>393286.27788800001</v>
      </c>
      <c r="H3579" s="156">
        <v>579687.13</v>
      </c>
      <c r="I3579" s="156">
        <v>419783.01</v>
      </c>
      <c r="J3579" s="156">
        <v>5059.92</v>
      </c>
      <c r="K3579" s="131">
        <f t="shared" si="218"/>
        <v>1004530.06</v>
      </c>
      <c r="L3579" s="134">
        <v>0.1792</v>
      </c>
    </row>
    <row r="3580" spans="3:12">
      <c r="C3580" s="161">
        <f t="shared" si="216"/>
        <v>2019</v>
      </c>
      <c r="D3580" s="35" t="s">
        <v>313</v>
      </c>
      <c r="E3580" s="227">
        <v>43556</v>
      </c>
      <c r="F3580" s="156">
        <v>2396823.41</v>
      </c>
      <c r="G3580" s="131">
        <f t="shared" si="217"/>
        <v>429510.75507200003</v>
      </c>
      <c r="H3580" s="156">
        <v>582047.32999999996</v>
      </c>
      <c r="I3580" s="156">
        <v>63610.25</v>
      </c>
      <c r="J3580" s="156">
        <v>19611.5</v>
      </c>
      <c r="K3580" s="131">
        <f t="shared" si="218"/>
        <v>665269.07999999996</v>
      </c>
      <c r="L3580" s="134">
        <v>0.1792</v>
      </c>
    </row>
    <row r="3581" spans="3:12">
      <c r="C3581" s="161">
        <f t="shared" si="216"/>
        <v>2019</v>
      </c>
      <c r="D3581" s="35" t="s">
        <v>313</v>
      </c>
      <c r="E3581" s="227">
        <v>43586</v>
      </c>
      <c r="F3581" s="156">
        <v>2334580.36</v>
      </c>
      <c r="G3581" s="131">
        <f t="shared" si="217"/>
        <v>418356.80051199999</v>
      </c>
      <c r="H3581" s="156">
        <v>346049.23</v>
      </c>
      <c r="I3581" s="156">
        <v>788218.95</v>
      </c>
      <c r="J3581" s="156">
        <v>34953.11</v>
      </c>
      <c r="K3581" s="131">
        <f t="shared" si="218"/>
        <v>1169221.29</v>
      </c>
      <c r="L3581" s="134">
        <v>0.1792</v>
      </c>
    </row>
    <row r="3582" spans="3:12">
      <c r="C3582" s="161">
        <f t="shared" si="216"/>
        <v>2019</v>
      </c>
      <c r="D3582" s="35" t="s">
        <v>313</v>
      </c>
      <c r="E3582" s="227">
        <v>43617</v>
      </c>
      <c r="F3582" s="156">
        <v>2298157.6800000002</v>
      </c>
      <c r="G3582" s="131">
        <f t="shared" si="217"/>
        <v>411829.856256</v>
      </c>
      <c r="H3582" s="156">
        <v>267819.53600000002</v>
      </c>
      <c r="I3582" s="156">
        <v>262234.59000000003</v>
      </c>
      <c r="J3582" s="156">
        <v>0</v>
      </c>
      <c r="K3582" s="131">
        <f t="shared" si="218"/>
        <v>530054.12600000005</v>
      </c>
      <c r="L3582" s="134">
        <v>0.1792</v>
      </c>
    </row>
    <row r="3583" spans="3:12">
      <c r="C3583" s="161">
        <f t="shared" si="216"/>
        <v>2019</v>
      </c>
      <c r="D3583" s="35" t="s">
        <v>313</v>
      </c>
      <c r="E3583" s="227">
        <v>43647</v>
      </c>
      <c r="F3583" s="156">
        <v>2400341.36</v>
      </c>
      <c r="G3583" s="131">
        <f t="shared" si="217"/>
        <v>430141.17171199998</v>
      </c>
      <c r="H3583" s="156">
        <v>403498.28</v>
      </c>
      <c r="I3583" s="156">
        <v>221067.46</v>
      </c>
      <c r="J3583" s="156">
        <v>5448.9</v>
      </c>
      <c r="K3583" s="131">
        <f t="shared" si="218"/>
        <v>630014.64</v>
      </c>
      <c r="L3583" s="134">
        <v>0.1792</v>
      </c>
    </row>
    <row r="3584" spans="3:12">
      <c r="C3584" s="161">
        <f t="shared" si="216"/>
        <v>2019</v>
      </c>
      <c r="D3584" s="35" t="s">
        <v>313</v>
      </c>
      <c r="E3584" s="227">
        <v>43678</v>
      </c>
      <c r="F3584" s="156">
        <v>2453337.42</v>
      </c>
      <c r="G3584" s="131">
        <f t="shared" si="217"/>
        <v>439638.06566399999</v>
      </c>
      <c r="H3584" s="156">
        <v>208194.53</v>
      </c>
      <c r="I3584" s="156">
        <v>297739.59999999998</v>
      </c>
      <c r="J3584" s="156">
        <v>2265.41</v>
      </c>
      <c r="K3584" s="131">
        <f t="shared" si="218"/>
        <v>508199.54</v>
      </c>
      <c r="L3584" s="134">
        <v>0.1792</v>
      </c>
    </row>
    <row r="3585" spans="3:12">
      <c r="C3585" s="161">
        <f t="shared" si="216"/>
        <v>2019</v>
      </c>
      <c r="D3585" s="35" t="s">
        <v>313</v>
      </c>
      <c r="E3585" s="227">
        <v>43709</v>
      </c>
      <c r="F3585" s="156">
        <v>2747194.69</v>
      </c>
      <c r="G3585" s="131">
        <f t="shared" si="217"/>
        <v>492297.28844799998</v>
      </c>
      <c r="H3585" s="156">
        <v>715242.48</v>
      </c>
      <c r="I3585" s="156">
        <v>105433.82</v>
      </c>
      <c r="J3585" s="156">
        <v>192840.52</v>
      </c>
      <c r="K3585" s="131">
        <f t="shared" si="218"/>
        <v>1013516.8200000001</v>
      </c>
      <c r="L3585" s="134">
        <v>0.1792</v>
      </c>
    </row>
    <row r="3586" spans="3:12">
      <c r="C3586" s="161">
        <f t="shared" si="216"/>
        <v>2019</v>
      </c>
      <c r="D3586" s="35" t="s">
        <v>313</v>
      </c>
      <c r="E3586" s="227">
        <v>43739</v>
      </c>
      <c r="F3586" s="156">
        <v>2706309.37</v>
      </c>
      <c r="G3586" s="131">
        <f t="shared" si="217"/>
        <v>484970.639104</v>
      </c>
      <c r="H3586" s="156">
        <v>866305.1</v>
      </c>
      <c r="I3586" s="156">
        <v>82529.48</v>
      </c>
      <c r="J3586" s="156">
        <v>528307.06000000006</v>
      </c>
      <c r="K3586" s="131">
        <f t="shared" si="218"/>
        <v>1477141.6400000001</v>
      </c>
      <c r="L3586" s="134">
        <v>0.1792</v>
      </c>
    </row>
    <row r="3587" spans="3:12">
      <c r="C3587" s="161">
        <f t="shared" si="216"/>
        <v>2019</v>
      </c>
      <c r="D3587" s="35" t="s">
        <v>313</v>
      </c>
      <c r="E3587" s="227">
        <v>43770</v>
      </c>
      <c r="F3587" s="156">
        <v>2898011.54</v>
      </c>
      <c r="G3587" s="131">
        <f t="shared" si="217"/>
        <v>519323.66796799999</v>
      </c>
      <c r="H3587" s="156">
        <v>201931.19</v>
      </c>
      <c r="I3587" s="156">
        <v>101509.95</v>
      </c>
      <c r="J3587" s="156">
        <v>0</v>
      </c>
      <c r="K3587" s="131">
        <f t="shared" si="218"/>
        <v>303441.14</v>
      </c>
      <c r="L3587" s="134">
        <v>0.1792</v>
      </c>
    </row>
    <row r="3588" spans="3:12">
      <c r="C3588" s="161">
        <f t="shared" ref="C3588:C3651" si="219">YEAR(E3588)</f>
        <v>2019</v>
      </c>
      <c r="D3588" s="35" t="s">
        <v>313</v>
      </c>
      <c r="E3588" s="227">
        <v>43800</v>
      </c>
      <c r="F3588" s="156">
        <v>2735420.89</v>
      </c>
      <c r="G3588" s="131">
        <f t="shared" ref="G3588:G3651" si="220">F3588*L3588</f>
        <v>490187.423488</v>
      </c>
      <c r="H3588" s="156">
        <v>1619081.11</v>
      </c>
      <c r="I3588" s="156">
        <v>94463.01</v>
      </c>
      <c r="J3588" s="156">
        <v>0</v>
      </c>
      <c r="K3588" s="131">
        <f t="shared" ref="K3588:K3651" si="221">SUM(H3588:J3588)</f>
        <v>1713544.12</v>
      </c>
      <c r="L3588" s="134">
        <v>0.1792</v>
      </c>
    </row>
    <row r="3589" spans="3:12">
      <c r="C3589" s="161">
        <f t="shared" si="219"/>
        <v>2020</v>
      </c>
      <c r="D3589" s="35" t="s">
        <v>313</v>
      </c>
      <c r="E3589" s="227">
        <v>43831</v>
      </c>
      <c r="F3589" s="156">
        <v>2637323.88</v>
      </c>
      <c r="G3589" s="131">
        <f t="shared" si="220"/>
        <v>472608.439296</v>
      </c>
      <c r="H3589" s="156">
        <v>366749.4</v>
      </c>
      <c r="I3589" s="156">
        <v>10005.049999999999</v>
      </c>
      <c r="J3589" s="156">
        <v>0</v>
      </c>
      <c r="K3589" s="131">
        <f t="shared" si="221"/>
        <v>376754.45</v>
      </c>
      <c r="L3589" s="134">
        <v>0.1792</v>
      </c>
    </row>
    <row r="3590" spans="3:12">
      <c r="C3590" s="161">
        <f t="shared" si="219"/>
        <v>2020</v>
      </c>
      <c r="D3590" s="35" t="s">
        <v>313</v>
      </c>
      <c r="E3590" s="227">
        <v>43862</v>
      </c>
      <c r="F3590" s="156">
        <v>2647850.0099999998</v>
      </c>
      <c r="G3590" s="131">
        <f t="shared" si="220"/>
        <v>474494.72179199994</v>
      </c>
      <c r="H3590" s="156">
        <v>327694.94</v>
      </c>
      <c r="I3590" s="156">
        <v>45008.4</v>
      </c>
      <c r="J3590" s="156">
        <v>3522.44</v>
      </c>
      <c r="K3590" s="131">
        <f t="shared" si="221"/>
        <v>376225.78</v>
      </c>
      <c r="L3590" s="134">
        <v>0.1792</v>
      </c>
    </row>
    <row r="3591" spans="3:12">
      <c r="C3591" s="161">
        <f t="shared" si="219"/>
        <v>2020</v>
      </c>
      <c r="D3591" s="35" t="s">
        <v>313</v>
      </c>
      <c r="E3591" s="227">
        <v>43891</v>
      </c>
      <c r="F3591" s="156">
        <v>2543260.4826750001</v>
      </c>
      <c r="G3591" s="131">
        <f t="shared" si="220"/>
        <v>455752.27849535999</v>
      </c>
      <c r="H3591" s="156">
        <v>220938.7</v>
      </c>
      <c r="I3591" s="156">
        <v>41152.629999999997</v>
      </c>
      <c r="J3591" s="156">
        <v>0</v>
      </c>
      <c r="K3591" s="131">
        <f t="shared" si="221"/>
        <v>262091.33000000002</v>
      </c>
      <c r="L3591" s="134">
        <v>0.1792</v>
      </c>
    </row>
    <row r="3592" spans="3:12">
      <c r="C3592" s="161">
        <f t="shared" si="219"/>
        <v>2020</v>
      </c>
      <c r="D3592" s="35" t="s">
        <v>313</v>
      </c>
      <c r="E3592" s="227">
        <v>43922</v>
      </c>
      <c r="F3592" s="156">
        <v>2547256.8132000002</v>
      </c>
      <c r="G3592" s="131">
        <f t="shared" si="220"/>
        <v>456468.42092544003</v>
      </c>
      <c r="H3592" s="156">
        <v>244641.09</v>
      </c>
      <c r="I3592" s="156">
        <v>555546.06000000006</v>
      </c>
      <c r="J3592" s="156">
        <v>0</v>
      </c>
      <c r="K3592" s="131">
        <f t="shared" si="221"/>
        <v>800187.15</v>
      </c>
      <c r="L3592" s="134">
        <v>0.1792</v>
      </c>
    </row>
    <row r="3593" spans="3:12">
      <c r="C3593" s="161">
        <f t="shared" si="219"/>
        <v>2020</v>
      </c>
      <c r="D3593" s="35" t="s">
        <v>313</v>
      </c>
      <c r="E3593" s="227">
        <v>43952</v>
      </c>
      <c r="F3593" s="156">
        <v>2428968.2999999998</v>
      </c>
      <c r="G3593" s="131">
        <f t="shared" si="220"/>
        <v>435271.11935999995</v>
      </c>
      <c r="H3593" s="156">
        <v>2011478.3</v>
      </c>
      <c r="I3593" s="156">
        <v>749608.27</v>
      </c>
      <c r="J3593" s="156">
        <v>0</v>
      </c>
      <c r="K3593" s="131">
        <f t="shared" si="221"/>
        <v>2761086.5700000003</v>
      </c>
      <c r="L3593" s="134">
        <v>0.1792</v>
      </c>
    </row>
    <row r="3594" spans="3:12">
      <c r="C3594" s="161">
        <f t="shared" si="219"/>
        <v>2020</v>
      </c>
      <c r="D3594" s="35" t="s">
        <v>313</v>
      </c>
      <c r="E3594" s="227">
        <v>43983</v>
      </c>
      <c r="F3594" s="156">
        <v>2395701.33</v>
      </c>
      <c r="G3594" s="131">
        <f t="shared" si="220"/>
        <v>429309.67833600001</v>
      </c>
      <c r="H3594" s="156">
        <v>831185.34</v>
      </c>
      <c r="I3594" s="156">
        <v>641164.1</v>
      </c>
      <c r="J3594" s="156">
        <v>0</v>
      </c>
      <c r="K3594" s="131">
        <f t="shared" si="221"/>
        <v>1472349.44</v>
      </c>
      <c r="L3594" s="134">
        <v>0.1792</v>
      </c>
    </row>
    <row r="3595" spans="3:12">
      <c r="C3595" s="161">
        <f t="shared" si="219"/>
        <v>2020</v>
      </c>
      <c r="D3595" s="35" t="s">
        <v>313</v>
      </c>
      <c r="E3595" s="227">
        <v>44013</v>
      </c>
      <c r="F3595" s="156">
        <v>2396707.89</v>
      </c>
      <c r="G3595" s="131">
        <f t="shared" si="220"/>
        <v>429490.05388800002</v>
      </c>
      <c r="H3595" s="156">
        <v>152016.18</v>
      </c>
      <c r="I3595" s="156">
        <v>1185239.5</v>
      </c>
      <c r="J3595" s="156">
        <v>663.7</v>
      </c>
      <c r="K3595" s="131">
        <f t="shared" si="221"/>
        <v>1337919.3799999999</v>
      </c>
      <c r="L3595" s="134">
        <v>0.1792</v>
      </c>
    </row>
    <row r="3596" spans="3:12">
      <c r="C3596" s="161">
        <f t="shared" si="219"/>
        <v>2020</v>
      </c>
      <c r="D3596" s="35" t="s">
        <v>313</v>
      </c>
      <c r="E3596" s="227">
        <v>44044</v>
      </c>
      <c r="F3596" s="156">
        <v>2645104.7000000002</v>
      </c>
      <c r="G3596" s="131">
        <f t="shared" si="220"/>
        <v>474002.76224000001</v>
      </c>
      <c r="H3596" s="156">
        <v>278489</v>
      </c>
      <c r="I3596" s="156">
        <v>1074558.98</v>
      </c>
      <c r="J3596" s="156">
        <v>2390.84</v>
      </c>
      <c r="K3596" s="131">
        <f t="shared" si="221"/>
        <v>1355438.82</v>
      </c>
      <c r="L3596" s="134">
        <v>0.1792</v>
      </c>
    </row>
    <row r="3597" spans="3:12">
      <c r="C3597" s="161">
        <f t="shared" si="219"/>
        <v>2020</v>
      </c>
      <c r="D3597" s="35" t="s">
        <v>313</v>
      </c>
      <c r="E3597" s="227">
        <v>44075</v>
      </c>
      <c r="F3597" s="156">
        <v>2642225.14</v>
      </c>
      <c r="G3597" s="131">
        <f t="shared" si="220"/>
        <v>473486.74508800003</v>
      </c>
      <c r="H3597" s="156">
        <v>128594.76</v>
      </c>
      <c r="I3597" s="156">
        <v>1065903.97</v>
      </c>
      <c r="J3597" s="156">
        <v>2198.2600000000002</v>
      </c>
      <c r="K3597" s="131">
        <f t="shared" si="221"/>
        <v>1196696.99</v>
      </c>
      <c r="L3597" s="134">
        <v>0.1792</v>
      </c>
    </row>
    <row r="3598" spans="3:12">
      <c r="C3598" s="161">
        <f t="shared" si="219"/>
        <v>2020</v>
      </c>
      <c r="D3598" s="35" t="s">
        <v>313</v>
      </c>
      <c r="E3598" s="227">
        <v>44105</v>
      </c>
      <c r="F3598" s="156">
        <v>2867118.76</v>
      </c>
      <c r="G3598" s="131">
        <f t="shared" si="220"/>
        <v>513787.68179199996</v>
      </c>
      <c r="H3598" s="156">
        <v>2428823.46</v>
      </c>
      <c r="I3598" s="156">
        <v>306784.46000000002</v>
      </c>
      <c r="J3598" s="156">
        <v>122300</v>
      </c>
      <c r="K3598" s="131">
        <f t="shared" si="221"/>
        <v>2857907.92</v>
      </c>
      <c r="L3598" s="134">
        <v>0.1792</v>
      </c>
    </row>
    <row r="3599" spans="3:12">
      <c r="C3599" s="161">
        <f t="shared" si="219"/>
        <v>2020</v>
      </c>
      <c r="D3599" s="35" t="s">
        <v>313</v>
      </c>
      <c r="E3599" s="227">
        <v>44136</v>
      </c>
      <c r="F3599" s="156">
        <v>2659882.2999999998</v>
      </c>
      <c r="G3599" s="131">
        <f t="shared" si="220"/>
        <v>476650.90815999993</v>
      </c>
      <c r="H3599" s="156">
        <v>186673.27</v>
      </c>
      <c r="I3599" s="156">
        <v>487408.33</v>
      </c>
      <c r="J3599" s="156">
        <v>0</v>
      </c>
      <c r="K3599" s="131">
        <f t="shared" si="221"/>
        <v>674081.6</v>
      </c>
      <c r="L3599" s="134">
        <v>0.1792</v>
      </c>
    </row>
    <row r="3600" spans="3:12">
      <c r="C3600" s="161">
        <f t="shared" si="219"/>
        <v>2020</v>
      </c>
      <c r="D3600" s="35" t="s">
        <v>313</v>
      </c>
      <c r="E3600" s="227">
        <v>44166</v>
      </c>
      <c r="F3600" s="156">
        <v>2719370.65</v>
      </c>
      <c r="G3600" s="131">
        <f t="shared" si="220"/>
        <v>487311.22047999996</v>
      </c>
      <c r="H3600" s="156">
        <v>122237.23</v>
      </c>
      <c r="I3600" s="156">
        <v>394224.44</v>
      </c>
      <c r="J3600" s="156">
        <v>0</v>
      </c>
      <c r="K3600" s="131">
        <f t="shared" si="221"/>
        <v>516461.67</v>
      </c>
      <c r="L3600" s="134">
        <v>0.1792</v>
      </c>
    </row>
    <row r="3601" spans="3:12">
      <c r="C3601" s="161">
        <f t="shared" si="219"/>
        <v>2021</v>
      </c>
      <c r="D3601" s="35" t="s">
        <v>313</v>
      </c>
      <c r="E3601" s="227">
        <v>44197</v>
      </c>
      <c r="F3601" s="156">
        <v>2736429.39</v>
      </c>
      <c r="G3601" s="131">
        <f t="shared" si="220"/>
        <v>490368.14668800001</v>
      </c>
      <c r="H3601" s="156">
        <v>146129.04999999999</v>
      </c>
      <c r="I3601" s="156">
        <v>251168.2</v>
      </c>
      <c r="J3601" s="156">
        <v>0</v>
      </c>
      <c r="K3601" s="131">
        <f t="shared" si="221"/>
        <v>397297.25</v>
      </c>
      <c r="L3601" s="134">
        <v>0.1792</v>
      </c>
    </row>
    <row r="3602" spans="3:12">
      <c r="C3602" s="161">
        <f t="shared" si="219"/>
        <v>2021</v>
      </c>
      <c r="D3602" s="35" t="s">
        <v>313</v>
      </c>
      <c r="E3602" s="227">
        <v>44229</v>
      </c>
      <c r="F3602" s="156">
        <v>2651175.4300000002</v>
      </c>
      <c r="G3602" s="131">
        <f t="shared" si="220"/>
        <v>475090.63705600001</v>
      </c>
      <c r="H3602" s="156">
        <v>152453.44</v>
      </c>
      <c r="I3602" s="156">
        <v>635976.94999999995</v>
      </c>
      <c r="J3602" s="156">
        <v>0</v>
      </c>
      <c r="K3602" s="131">
        <f t="shared" si="221"/>
        <v>788430.3899999999</v>
      </c>
      <c r="L3602" s="134">
        <v>0.1792</v>
      </c>
    </row>
    <row r="3603" spans="3:12">
      <c r="C3603" s="161">
        <f t="shared" si="219"/>
        <v>2021</v>
      </c>
      <c r="D3603" s="35" t="s">
        <v>313</v>
      </c>
      <c r="E3603" s="227">
        <v>44258</v>
      </c>
      <c r="F3603" s="156">
        <v>2606362.44</v>
      </c>
      <c r="G3603" s="131">
        <f t="shared" si="220"/>
        <v>467060.149248</v>
      </c>
      <c r="H3603" s="156">
        <v>232852.83</v>
      </c>
      <c r="I3603" s="156">
        <v>478070.74</v>
      </c>
      <c r="J3603" s="156">
        <v>0</v>
      </c>
      <c r="K3603" s="131">
        <f t="shared" si="221"/>
        <v>710923.57</v>
      </c>
      <c r="L3603" s="134">
        <v>0.1792</v>
      </c>
    </row>
    <row r="3604" spans="3:12">
      <c r="C3604" s="161">
        <f t="shared" si="219"/>
        <v>2021</v>
      </c>
      <c r="D3604" s="35" t="s">
        <v>313</v>
      </c>
      <c r="E3604" s="227">
        <v>44290</v>
      </c>
      <c r="F3604" s="156">
        <v>2741228.89</v>
      </c>
      <c r="G3604" s="131">
        <f t="shared" si="220"/>
        <v>491228.21708800003</v>
      </c>
      <c r="H3604" s="156">
        <v>302644.45</v>
      </c>
      <c r="I3604" s="156">
        <v>322781.55</v>
      </c>
      <c r="J3604" s="156">
        <v>0</v>
      </c>
      <c r="K3604" s="131">
        <f t="shared" si="221"/>
        <v>625426</v>
      </c>
      <c r="L3604" s="134">
        <v>0.1792</v>
      </c>
    </row>
    <row r="3605" spans="3:12">
      <c r="C3605" s="161">
        <f t="shared" si="219"/>
        <v>2021</v>
      </c>
      <c r="D3605" s="35" t="s">
        <v>313</v>
      </c>
      <c r="E3605" s="227">
        <v>44321</v>
      </c>
      <c r="F3605" s="156">
        <v>2540346.52</v>
      </c>
      <c r="G3605" s="131">
        <f t="shared" si="220"/>
        <v>455230.09638399997</v>
      </c>
      <c r="H3605" s="156">
        <v>167632.29999999999</v>
      </c>
      <c r="I3605" s="156">
        <v>69725.37</v>
      </c>
      <c r="J3605" s="156">
        <v>62524.46</v>
      </c>
      <c r="K3605" s="131">
        <f t="shared" si="221"/>
        <v>299882.13</v>
      </c>
      <c r="L3605" s="134">
        <v>0.1792</v>
      </c>
    </row>
    <row r="3606" spans="3:12">
      <c r="C3606" s="161">
        <f t="shared" si="219"/>
        <v>2021</v>
      </c>
      <c r="D3606" s="35" t="s">
        <v>313</v>
      </c>
      <c r="E3606" s="227">
        <v>44353</v>
      </c>
      <c r="F3606" s="156">
        <v>2595632.54</v>
      </c>
      <c r="G3606" s="131">
        <f t="shared" si="220"/>
        <v>465137.35116800002</v>
      </c>
      <c r="H3606" s="156">
        <v>132145.91</v>
      </c>
      <c r="I3606" s="156">
        <v>216526.87</v>
      </c>
      <c r="J3606" s="156">
        <v>53078.54</v>
      </c>
      <c r="K3606" s="131">
        <f t="shared" si="221"/>
        <v>401751.32</v>
      </c>
      <c r="L3606" s="134">
        <v>0.1792</v>
      </c>
    </row>
    <row r="3607" spans="3:12">
      <c r="C3607" s="161">
        <f t="shared" si="219"/>
        <v>2015</v>
      </c>
      <c r="D3607" s="35" t="s">
        <v>314</v>
      </c>
      <c r="E3607" s="227">
        <v>42309</v>
      </c>
      <c r="F3607" s="156">
        <v>287783.69</v>
      </c>
      <c r="G3607" s="131">
        <f t="shared" si="220"/>
        <v>51570.837248000003</v>
      </c>
      <c r="H3607" s="156">
        <v>593.20000000000005</v>
      </c>
      <c r="I3607" s="156">
        <v>38012.49</v>
      </c>
      <c r="J3607" s="156">
        <v>0</v>
      </c>
      <c r="K3607" s="131">
        <f t="shared" si="221"/>
        <v>38605.689999999995</v>
      </c>
      <c r="L3607" s="134">
        <v>0.1792</v>
      </c>
    </row>
    <row r="3608" spans="3:12">
      <c r="C3608" s="161">
        <f t="shared" si="219"/>
        <v>2015</v>
      </c>
      <c r="D3608" s="35" t="s">
        <v>314</v>
      </c>
      <c r="E3608" s="227">
        <v>42339</v>
      </c>
      <c r="F3608" s="156">
        <v>275258.69</v>
      </c>
      <c r="G3608" s="131">
        <f t="shared" si="220"/>
        <v>49326.357248</v>
      </c>
      <c r="H3608" s="156">
        <v>590.66999999999996</v>
      </c>
      <c r="I3608" s="156">
        <v>4437.2</v>
      </c>
      <c r="J3608" s="156">
        <v>0</v>
      </c>
      <c r="K3608" s="131">
        <f t="shared" si="221"/>
        <v>5027.87</v>
      </c>
      <c r="L3608" s="134">
        <v>0.1792</v>
      </c>
    </row>
    <row r="3609" spans="3:12">
      <c r="C3609" s="161">
        <f t="shared" si="219"/>
        <v>2016</v>
      </c>
      <c r="D3609" s="35" t="s">
        <v>314</v>
      </c>
      <c r="E3609" s="227">
        <v>42370</v>
      </c>
      <c r="F3609" s="156">
        <v>288308.58</v>
      </c>
      <c r="G3609" s="131">
        <f t="shared" si="220"/>
        <v>51664.897536000004</v>
      </c>
      <c r="H3609" s="156">
        <v>404</v>
      </c>
      <c r="I3609" s="156">
        <v>2549.4</v>
      </c>
      <c r="J3609" s="156">
        <v>100984.25</v>
      </c>
      <c r="K3609" s="131">
        <f t="shared" si="221"/>
        <v>103937.65</v>
      </c>
      <c r="L3609" s="134">
        <v>0.1792</v>
      </c>
    </row>
    <row r="3610" spans="3:12">
      <c r="C3610" s="161">
        <f t="shared" si="219"/>
        <v>2016</v>
      </c>
      <c r="D3610" s="35" t="s">
        <v>314</v>
      </c>
      <c r="E3610" s="227">
        <v>42401</v>
      </c>
      <c r="F3610" s="156">
        <v>268090.7</v>
      </c>
      <c r="G3610" s="131">
        <f t="shared" si="220"/>
        <v>48041.853439999999</v>
      </c>
      <c r="H3610" s="156">
        <v>1110.75</v>
      </c>
      <c r="I3610" s="156">
        <v>0</v>
      </c>
      <c r="J3610" s="156">
        <v>0</v>
      </c>
      <c r="K3610" s="131">
        <f t="shared" si="221"/>
        <v>1110.75</v>
      </c>
      <c r="L3610" s="134">
        <v>0.1792</v>
      </c>
    </row>
    <row r="3611" spans="3:12">
      <c r="C3611" s="161">
        <f t="shared" si="219"/>
        <v>2016</v>
      </c>
      <c r="D3611" s="35" t="s">
        <v>314</v>
      </c>
      <c r="E3611" s="227">
        <v>42430</v>
      </c>
      <c r="F3611" s="156">
        <v>256986.47</v>
      </c>
      <c r="G3611" s="131">
        <f t="shared" si="220"/>
        <v>46051.975423999997</v>
      </c>
      <c r="H3611" s="156">
        <v>2574.65</v>
      </c>
      <c r="I3611" s="156">
        <v>2057.2399999999998</v>
      </c>
      <c r="J3611" s="156">
        <v>22369.95</v>
      </c>
      <c r="K3611" s="131">
        <f t="shared" si="221"/>
        <v>27001.84</v>
      </c>
      <c r="L3611" s="134">
        <v>0.1792</v>
      </c>
    </row>
    <row r="3612" spans="3:12">
      <c r="C3612" s="161">
        <f t="shared" si="219"/>
        <v>2016</v>
      </c>
      <c r="D3612" s="35" t="s">
        <v>314</v>
      </c>
      <c r="E3612" s="227">
        <v>42461</v>
      </c>
      <c r="F3612" s="156">
        <v>268480.68</v>
      </c>
      <c r="G3612" s="131">
        <f t="shared" si="220"/>
        <v>48111.737856</v>
      </c>
      <c r="H3612" s="156">
        <v>402.39</v>
      </c>
      <c r="I3612" s="156">
        <v>80.42</v>
      </c>
      <c r="J3612" s="156">
        <v>0</v>
      </c>
      <c r="K3612" s="131">
        <f t="shared" si="221"/>
        <v>482.81</v>
      </c>
      <c r="L3612" s="134">
        <v>0.1792</v>
      </c>
    </row>
    <row r="3613" spans="3:12">
      <c r="C3613" s="161">
        <f t="shared" si="219"/>
        <v>2016</v>
      </c>
      <c r="D3613" s="35" t="s">
        <v>314</v>
      </c>
      <c r="E3613" s="227">
        <v>42491</v>
      </c>
      <c r="F3613" s="156">
        <v>264791.58</v>
      </c>
      <c r="G3613" s="131">
        <f t="shared" si="220"/>
        <v>47450.651136</v>
      </c>
      <c r="H3613" s="156">
        <v>38176.53</v>
      </c>
      <c r="I3613" s="156">
        <v>19772.28</v>
      </c>
      <c r="J3613" s="156">
        <v>0</v>
      </c>
      <c r="K3613" s="131">
        <f t="shared" si="221"/>
        <v>57948.81</v>
      </c>
      <c r="L3613" s="134">
        <v>0.1792</v>
      </c>
    </row>
    <row r="3614" spans="3:12">
      <c r="C3614" s="161">
        <f t="shared" si="219"/>
        <v>2016</v>
      </c>
      <c r="D3614" s="35" t="s">
        <v>314</v>
      </c>
      <c r="E3614" s="227">
        <v>42522</v>
      </c>
      <c r="F3614" s="156">
        <v>300102.98</v>
      </c>
      <c r="G3614" s="131">
        <f t="shared" si="220"/>
        <v>53778.454015999996</v>
      </c>
      <c r="H3614" s="156">
        <v>3219.74</v>
      </c>
      <c r="I3614" s="156">
        <v>3811.03</v>
      </c>
      <c r="J3614" s="156">
        <v>26105.35</v>
      </c>
      <c r="K3614" s="131">
        <f t="shared" si="221"/>
        <v>33136.119999999995</v>
      </c>
      <c r="L3614" s="134">
        <v>0.1792</v>
      </c>
    </row>
    <row r="3615" spans="3:12">
      <c r="C3615" s="161">
        <f t="shared" si="219"/>
        <v>2016</v>
      </c>
      <c r="D3615" s="35" t="s">
        <v>314</v>
      </c>
      <c r="E3615" s="227">
        <v>42552</v>
      </c>
      <c r="F3615" s="156">
        <v>282162.21999999997</v>
      </c>
      <c r="G3615" s="131">
        <f t="shared" si="220"/>
        <v>50563.469823999993</v>
      </c>
      <c r="H3615" s="156">
        <v>3139.75</v>
      </c>
      <c r="I3615" s="156">
        <v>11839.74</v>
      </c>
      <c r="J3615" s="156">
        <v>0</v>
      </c>
      <c r="K3615" s="131">
        <f t="shared" si="221"/>
        <v>14979.49</v>
      </c>
      <c r="L3615" s="134">
        <v>0.1792</v>
      </c>
    </row>
    <row r="3616" spans="3:12">
      <c r="C3616" s="161">
        <f t="shared" si="219"/>
        <v>2016</v>
      </c>
      <c r="D3616" s="35" t="s">
        <v>314</v>
      </c>
      <c r="E3616" s="227">
        <v>42583</v>
      </c>
      <c r="F3616" s="156">
        <v>318132.7</v>
      </c>
      <c r="G3616" s="131">
        <f t="shared" si="220"/>
        <v>57009.379840000001</v>
      </c>
      <c r="H3616" s="156">
        <v>4570.38</v>
      </c>
      <c r="I3616" s="156">
        <v>2309.17</v>
      </c>
      <c r="J3616" s="156">
        <v>1770.1</v>
      </c>
      <c r="K3616" s="131">
        <f t="shared" si="221"/>
        <v>8649.65</v>
      </c>
      <c r="L3616" s="134">
        <v>0.1792</v>
      </c>
    </row>
    <row r="3617" spans="3:12">
      <c r="C3617" s="161">
        <f t="shared" si="219"/>
        <v>2016</v>
      </c>
      <c r="D3617" s="35" t="s">
        <v>314</v>
      </c>
      <c r="E3617" s="227">
        <v>42614</v>
      </c>
      <c r="F3617" s="156">
        <v>305312.51</v>
      </c>
      <c r="G3617" s="131">
        <f t="shared" si="220"/>
        <v>54712.001792000003</v>
      </c>
      <c r="H3617" s="156">
        <v>743.99</v>
      </c>
      <c r="I3617" s="156">
        <v>12184.48</v>
      </c>
      <c r="J3617" s="156">
        <v>0</v>
      </c>
      <c r="K3617" s="131">
        <f t="shared" si="221"/>
        <v>12928.47</v>
      </c>
      <c r="L3617" s="134">
        <v>0.1792</v>
      </c>
    </row>
    <row r="3618" spans="3:12">
      <c r="C3618" s="161">
        <f t="shared" si="219"/>
        <v>2016</v>
      </c>
      <c r="D3618" s="35" t="s">
        <v>314</v>
      </c>
      <c r="E3618" s="227">
        <v>42644</v>
      </c>
      <c r="F3618" s="156">
        <v>346458.31</v>
      </c>
      <c r="G3618" s="131">
        <f t="shared" si="220"/>
        <v>62085.329151999998</v>
      </c>
      <c r="H3618" s="156">
        <v>11298.92</v>
      </c>
      <c r="I3618" s="156">
        <v>7638.79</v>
      </c>
      <c r="J3618" s="156">
        <v>478.84</v>
      </c>
      <c r="K3618" s="131">
        <f t="shared" si="221"/>
        <v>19416.55</v>
      </c>
      <c r="L3618" s="134">
        <v>0.1792</v>
      </c>
    </row>
    <row r="3619" spans="3:12">
      <c r="C3619" s="161">
        <f t="shared" si="219"/>
        <v>2016</v>
      </c>
      <c r="D3619" s="35" t="s">
        <v>314</v>
      </c>
      <c r="E3619" s="227">
        <v>42675</v>
      </c>
      <c r="F3619" s="156">
        <v>334611.37</v>
      </c>
      <c r="G3619" s="131">
        <f t="shared" si="220"/>
        <v>59962.357504</v>
      </c>
      <c r="H3619" s="156">
        <v>965.51</v>
      </c>
      <c r="I3619" s="156">
        <v>3299.25</v>
      </c>
      <c r="J3619" s="156">
        <v>523.69000000000005</v>
      </c>
      <c r="K3619" s="131">
        <f t="shared" si="221"/>
        <v>4788.4500000000007</v>
      </c>
      <c r="L3619" s="134">
        <v>0.1792</v>
      </c>
    </row>
    <row r="3620" spans="3:12">
      <c r="C3620" s="161">
        <f t="shared" si="219"/>
        <v>2016</v>
      </c>
      <c r="D3620" s="35" t="s">
        <v>314</v>
      </c>
      <c r="E3620" s="227">
        <v>42705</v>
      </c>
      <c r="F3620" s="156">
        <v>309942.84000000003</v>
      </c>
      <c r="G3620" s="131">
        <f t="shared" si="220"/>
        <v>55541.756928000003</v>
      </c>
      <c r="H3620" s="156">
        <v>11066.16</v>
      </c>
      <c r="I3620" s="156">
        <v>773.17</v>
      </c>
      <c r="J3620" s="156">
        <v>0</v>
      </c>
      <c r="K3620" s="131">
        <f t="shared" si="221"/>
        <v>11839.33</v>
      </c>
      <c r="L3620" s="134">
        <v>0.1792</v>
      </c>
    </row>
    <row r="3621" spans="3:12">
      <c r="C3621" s="161">
        <f t="shared" si="219"/>
        <v>2017</v>
      </c>
      <c r="D3621" s="35" t="s">
        <v>314</v>
      </c>
      <c r="E3621" s="227">
        <v>42736</v>
      </c>
      <c r="F3621" s="156">
        <v>368913.27</v>
      </c>
      <c r="G3621" s="131">
        <f t="shared" si="220"/>
        <v>66109.257983999996</v>
      </c>
      <c r="H3621" s="156">
        <v>2306.02</v>
      </c>
      <c r="I3621" s="156">
        <v>224435.99</v>
      </c>
      <c r="J3621" s="156">
        <v>4826.32</v>
      </c>
      <c r="K3621" s="131">
        <f t="shared" si="221"/>
        <v>231568.33</v>
      </c>
      <c r="L3621" s="134">
        <v>0.1792</v>
      </c>
    </row>
    <row r="3622" spans="3:12">
      <c r="C3622" s="161">
        <f t="shared" si="219"/>
        <v>2017</v>
      </c>
      <c r="D3622" s="35" t="s">
        <v>314</v>
      </c>
      <c r="E3622" s="227">
        <v>42767</v>
      </c>
      <c r="F3622" s="156">
        <v>328832.31</v>
      </c>
      <c r="G3622" s="131">
        <f t="shared" si="220"/>
        <v>58926.749951999998</v>
      </c>
      <c r="H3622" s="156">
        <v>5194.47</v>
      </c>
      <c r="I3622" s="156">
        <v>1940.61</v>
      </c>
      <c r="J3622" s="156">
        <v>974.2</v>
      </c>
      <c r="K3622" s="131">
        <f t="shared" si="221"/>
        <v>8109.28</v>
      </c>
      <c r="L3622" s="134">
        <v>0.1792</v>
      </c>
    </row>
    <row r="3623" spans="3:12">
      <c r="C3623" s="161">
        <f t="shared" si="219"/>
        <v>2017</v>
      </c>
      <c r="D3623" s="35" t="s">
        <v>314</v>
      </c>
      <c r="E3623" s="227">
        <v>42795</v>
      </c>
      <c r="F3623" s="156">
        <v>299931.58</v>
      </c>
      <c r="G3623" s="131">
        <f t="shared" si="220"/>
        <v>53747.739136000004</v>
      </c>
      <c r="H3623" s="156">
        <v>27358.57</v>
      </c>
      <c r="I3623" s="156">
        <v>15722.85</v>
      </c>
      <c r="J3623" s="156">
        <v>336.2</v>
      </c>
      <c r="K3623" s="131">
        <f t="shared" si="221"/>
        <v>43417.619999999995</v>
      </c>
      <c r="L3623" s="134">
        <v>0.1792</v>
      </c>
    </row>
    <row r="3624" spans="3:12">
      <c r="C3624" s="161">
        <f t="shared" si="219"/>
        <v>2017</v>
      </c>
      <c r="D3624" s="35" t="s">
        <v>314</v>
      </c>
      <c r="E3624" s="227">
        <v>42826</v>
      </c>
      <c r="F3624" s="156">
        <v>326785.06</v>
      </c>
      <c r="G3624" s="131">
        <f t="shared" si="220"/>
        <v>58559.882751999998</v>
      </c>
      <c r="H3624" s="156">
        <v>4396.26</v>
      </c>
      <c r="I3624" s="156">
        <v>11864.66</v>
      </c>
      <c r="J3624" s="156">
        <v>0</v>
      </c>
      <c r="K3624" s="131">
        <f t="shared" si="221"/>
        <v>16260.92</v>
      </c>
      <c r="L3624" s="134">
        <v>0.1792</v>
      </c>
    </row>
    <row r="3625" spans="3:12">
      <c r="C3625" s="161">
        <f t="shared" si="219"/>
        <v>2017</v>
      </c>
      <c r="D3625" s="35" t="s">
        <v>314</v>
      </c>
      <c r="E3625" s="227">
        <v>42856</v>
      </c>
      <c r="F3625" s="156">
        <v>304226.05</v>
      </c>
      <c r="G3625" s="131">
        <f t="shared" si="220"/>
        <v>54517.30816</v>
      </c>
      <c r="H3625" s="156">
        <v>1882.97</v>
      </c>
      <c r="I3625" s="156">
        <v>0</v>
      </c>
      <c r="J3625" s="156">
        <v>0</v>
      </c>
      <c r="K3625" s="131">
        <f t="shared" si="221"/>
        <v>1882.97</v>
      </c>
      <c r="L3625" s="134">
        <v>0.1792</v>
      </c>
    </row>
    <row r="3626" spans="3:12">
      <c r="C3626" s="161">
        <f t="shared" si="219"/>
        <v>2017</v>
      </c>
      <c r="D3626" s="35" t="s">
        <v>314</v>
      </c>
      <c r="E3626" s="227">
        <v>42887</v>
      </c>
      <c r="F3626" s="156">
        <v>312558.40999999997</v>
      </c>
      <c r="G3626" s="131">
        <f t="shared" si="220"/>
        <v>56010.467071999992</v>
      </c>
      <c r="H3626" s="156">
        <v>1640.62</v>
      </c>
      <c r="I3626" s="156">
        <v>172.62</v>
      </c>
      <c r="J3626" s="156">
        <v>0</v>
      </c>
      <c r="K3626" s="131">
        <f t="shared" si="221"/>
        <v>1813.2399999999998</v>
      </c>
      <c r="L3626" s="134">
        <v>0.1792</v>
      </c>
    </row>
    <row r="3627" spans="3:12">
      <c r="C3627" s="161">
        <f t="shared" si="219"/>
        <v>2017</v>
      </c>
      <c r="D3627" s="35" t="s">
        <v>314</v>
      </c>
      <c r="E3627" s="227">
        <v>42917</v>
      </c>
      <c r="F3627" s="156">
        <v>316098.23</v>
      </c>
      <c r="G3627" s="131">
        <f t="shared" si="220"/>
        <v>56644.802815999996</v>
      </c>
      <c r="H3627" s="156">
        <v>2370.27</v>
      </c>
      <c r="I3627" s="156">
        <v>679.25</v>
      </c>
      <c r="J3627" s="156">
        <v>0</v>
      </c>
      <c r="K3627" s="131">
        <f t="shared" si="221"/>
        <v>3049.52</v>
      </c>
      <c r="L3627" s="134">
        <v>0.1792</v>
      </c>
    </row>
    <row r="3628" spans="3:12">
      <c r="C3628" s="161">
        <f t="shared" si="219"/>
        <v>2017</v>
      </c>
      <c r="D3628" s="35" t="s">
        <v>314</v>
      </c>
      <c r="E3628" s="227">
        <v>42948</v>
      </c>
      <c r="F3628" s="156">
        <v>329892.36</v>
      </c>
      <c r="G3628" s="131">
        <f t="shared" si="220"/>
        <v>59116.710911999995</v>
      </c>
      <c r="H3628" s="156">
        <v>2308.9</v>
      </c>
      <c r="I3628" s="156">
        <v>16319.35</v>
      </c>
      <c r="J3628" s="156">
        <v>0</v>
      </c>
      <c r="K3628" s="131">
        <f t="shared" si="221"/>
        <v>18628.25</v>
      </c>
      <c r="L3628" s="134">
        <v>0.1792</v>
      </c>
    </row>
    <row r="3629" spans="3:12">
      <c r="C3629" s="161">
        <f t="shared" si="219"/>
        <v>2017</v>
      </c>
      <c r="D3629" s="35" t="s">
        <v>314</v>
      </c>
      <c r="E3629" s="227">
        <v>42979</v>
      </c>
      <c r="F3629" s="156">
        <v>355553.31</v>
      </c>
      <c r="G3629" s="131">
        <f t="shared" si="220"/>
        <v>63715.153151999999</v>
      </c>
      <c r="H3629" s="156">
        <v>1796.61</v>
      </c>
      <c r="I3629" s="156">
        <v>1780.27</v>
      </c>
      <c r="J3629" s="156">
        <v>0</v>
      </c>
      <c r="K3629" s="131">
        <f t="shared" si="221"/>
        <v>3576.88</v>
      </c>
      <c r="L3629" s="134">
        <v>0.1792</v>
      </c>
    </row>
    <row r="3630" spans="3:12">
      <c r="C3630" s="161">
        <f t="shared" si="219"/>
        <v>2017</v>
      </c>
      <c r="D3630" s="35" t="s">
        <v>314</v>
      </c>
      <c r="E3630" s="227">
        <v>43009</v>
      </c>
      <c r="F3630" s="156">
        <v>349202.44</v>
      </c>
      <c r="G3630" s="131">
        <f t="shared" si="220"/>
        <v>62577.077248000001</v>
      </c>
      <c r="H3630" s="156">
        <v>145.58000000000001</v>
      </c>
      <c r="I3630" s="156">
        <v>2629.51</v>
      </c>
      <c r="J3630" s="156">
        <v>0</v>
      </c>
      <c r="K3630" s="131">
        <f t="shared" si="221"/>
        <v>2775.09</v>
      </c>
      <c r="L3630" s="134">
        <v>0.1792</v>
      </c>
    </row>
    <row r="3631" spans="3:12">
      <c r="C3631" s="161">
        <f t="shared" si="219"/>
        <v>2017</v>
      </c>
      <c r="D3631" s="35" t="s">
        <v>314</v>
      </c>
      <c r="E3631" s="227">
        <v>43040</v>
      </c>
      <c r="F3631" s="156">
        <v>329760.63</v>
      </c>
      <c r="G3631" s="131">
        <f t="shared" si="220"/>
        <v>59093.104895999997</v>
      </c>
      <c r="H3631" s="156">
        <v>668.95</v>
      </c>
      <c r="I3631" s="156">
        <v>0</v>
      </c>
      <c r="J3631" s="156">
        <v>138500</v>
      </c>
      <c r="K3631" s="131">
        <f t="shared" si="221"/>
        <v>139168.95000000001</v>
      </c>
      <c r="L3631" s="134">
        <v>0.1792</v>
      </c>
    </row>
    <row r="3632" spans="3:12">
      <c r="C3632" s="161">
        <f t="shared" si="219"/>
        <v>2017</v>
      </c>
      <c r="D3632" s="35" t="s">
        <v>314</v>
      </c>
      <c r="E3632" s="227">
        <v>43070</v>
      </c>
      <c r="F3632" s="156">
        <v>350339.45</v>
      </c>
      <c r="G3632" s="131">
        <f t="shared" si="220"/>
        <v>62780.829440000001</v>
      </c>
      <c r="H3632" s="156">
        <v>198.23</v>
      </c>
      <c r="I3632" s="156">
        <v>34134.44</v>
      </c>
      <c r="J3632" s="156">
        <v>0</v>
      </c>
      <c r="K3632" s="131">
        <f t="shared" si="221"/>
        <v>34332.670000000006</v>
      </c>
      <c r="L3632" s="134">
        <v>0.1792</v>
      </c>
    </row>
    <row r="3633" spans="3:12">
      <c r="C3633" s="161">
        <f t="shared" si="219"/>
        <v>2018</v>
      </c>
      <c r="D3633" s="35" t="s">
        <v>314</v>
      </c>
      <c r="E3633" s="227">
        <v>43101</v>
      </c>
      <c r="F3633" s="156">
        <v>375105.25</v>
      </c>
      <c r="G3633" s="131">
        <f t="shared" si="220"/>
        <v>67218.860799999995</v>
      </c>
      <c r="H3633" s="156">
        <v>1717.93</v>
      </c>
      <c r="I3633" s="156">
        <v>144.66999999999999</v>
      </c>
      <c r="J3633" s="156">
        <v>272.66000000000003</v>
      </c>
      <c r="K3633" s="131">
        <f t="shared" si="221"/>
        <v>2135.2600000000002</v>
      </c>
      <c r="L3633" s="134">
        <v>0.1792</v>
      </c>
    </row>
    <row r="3634" spans="3:12">
      <c r="C3634" s="161">
        <f t="shared" si="219"/>
        <v>2018</v>
      </c>
      <c r="D3634" s="35" t="s">
        <v>314</v>
      </c>
      <c r="E3634" s="227">
        <v>43132</v>
      </c>
      <c r="F3634" s="156">
        <v>313769.40000000002</v>
      </c>
      <c r="G3634" s="131">
        <f t="shared" si="220"/>
        <v>56227.476480000005</v>
      </c>
      <c r="H3634" s="156">
        <v>11222.75</v>
      </c>
      <c r="I3634" s="156">
        <v>106416.48</v>
      </c>
      <c r="J3634" s="156">
        <v>3800</v>
      </c>
      <c r="K3634" s="131">
        <f t="shared" si="221"/>
        <v>121439.23</v>
      </c>
      <c r="L3634" s="134">
        <v>0.1792</v>
      </c>
    </row>
    <row r="3635" spans="3:12">
      <c r="C3635" s="161">
        <f t="shared" si="219"/>
        <v>2018</v>
      </c>
      <c r="D3635" s="35" t="s">
        <v>314</v>
      </c>
      <c r="E3635" s="227">
        <v>43160</v>
      </c>
      <c r="F3635" s="156">
        <v>310882.99</v>
      </c>
      <c r="G3635" s="131">
        <f t="shared" si="220"/>
        <v>55710.231807999997</v>
      </c>
      <c r="H3635" s="156">
        <v>954.35</v>
      </c>
      <c r="I3635" s="156">
        <v>2802.57</v>
      </c>
      <c r="J3635" s="156">
        <v>0</v>
      </c>
      <c r="K3635" s="131">
        <f t="shared" si="221"/>
        <v>3756.92</v>
      </c>
      <c r="L3635" s="134">
        <v>0.1792</v>
      </c>
    </row>
    <row r="3636" spans="3:12">
      <c r="C3636" s="161">
        <f t="shared" si="219"/>
        <v>2018</v>
      </c>
      <c r="D3636" s="35" t="s">
        <v>314</v>
      </c>
      <c r="E3636" s="227">
        <v>43191</v>
      </c>
      <c r="F3636" s="156">
        <v>331381.77</v>
      </c>
      <c r="G3636" s="131">
        <f t="shared" si="220"/>
        <v>59383.613184000002</v>
      </c>
      <c r="H3636" s="156">
        <v>1070.28</v>
      </c>
      <c r="I3636" s="156">
        <v>3855.11</v>
      </c>
      <c r="J3636" s="156">
        <v>0</v>
      </c>
      <c r="K3636" s="131">
        <f t="shared" si="221"/>
        <v>4925.3900000000003</v>
      </c>
      <c r="L3636" s="134">
        <v>0.1792</v>
      </c>
    </row>
    <row r="3637" spans="3:12">
      <c r="C3637" s="161">
        <f t="shared" si="219"/>
        <v>2018</v>
      </c>
      <c r="D3637" s="35" t="s">
        <v>314</v>
      </c>
      <c r="E3637" s="227">
        <v>43221</v>
      </c>
      <c r="F3637" s="156">
        <v>325936.21000000002</v>
      </c>
      <c r="G3637" s="131">
        <f t="shared" si="220"/>
        <v>58407.768832000002</v>
      </c>
      <c r="H3637" s="156">
        <v>7610.27</v>
      </c>
      <c r="I3637" s="156">
        <v>2420.31</v>
      </c>
      <c r="J3637" s="156">
        <v>0</v>
      </c>
      <c r="K3637" s="131">
        <f t="shared" si="221"/>
        <v>10030.58</v>
      </c>
      <c r="L3637" s="134">
        <v>0.1792</v>
      </c>
    </row>
    <row r="3638" spans="3:12">
      <c r="C3638" s="161">
        <f t="shared" si="219"/>
        <v>2018</v>
      </c>
      <c r="D3638" s="35" t="s">
        <v>314</v>
      </c>
      <c r="E3638" s="227">
        <v>43252</v>
      </c>
      <c r="F3638" s="156">
        <v>308824.56</v>
      </c>
      <c r="G3638" s="131">
        <f t="shared" si="220"/>
        <v>55341.361151999998</v>
      </c>
      <c r="H3638" s="156">
        <v>2161.02</v>
      </c>
      <c r="I3638" s="156">
        <v>38329.800000000003</v>
      </c>
      <c r="J3638" s="156">
        <v>3225</v>
      </c>
      <c r="K3638" s="131">
        <f t="shared" si="221"/>
        <v>43715.82</v>
      </c>
      <c r="L3638" s="134">
        <v>0.1792</v>
      </c>
    </row>
    <row r="3639" spans="3:12">
      <c r="C3639" s="161">
        <f t="shared" si="219"/>
        <v>2018</v>
      </c>
      <c r="D3639" s="35" t="s">
        <v>314</v>
      </c>
      <c r="E3639" s="227">
        <v>43282</v>
      </c>
      <c r="F3639" s="156">
        <v>331003.77</v>
      </c>
      <c r="G3639" s="131">
        <f t="shared" si="220"/>
        <v>59315.875584000001</v>
      </c>
      <c r="H3639" s="156">
        <v>1398.19</v>
      </c>
      <c r="I3639" s="156">
        <v>0</v>
      </c>
      <c r="J3639" s="156">
        <v>0</v>
      </c>
      <c r="K3639" s="131">
        <f t="shared" si="221"/>
        <v>1398.19</v>
      </c>
      <c r="L3639" s="134">
        <v>0.1792</v>
      </c>
    </row>
    <row r="3640" spans="3:12">
      <c r="C3640" s="161">
        <f t="shared" si="219"/>
        <v>2018</v>
      </c>
      <c r="D3640" s="35" t="s">
        <v>314</v>
      </c>
      <c r="E3640" s="227">
        <v>43313</v>
      </c>
      <c r="F3640" s="156">
        <v>320898.62</v>
      </c>
      <c r="G3640" s="131">
        <f t="shared" si="220"/>
        <v>57505.032703999997</v>
      </c>
      <c r="H3640" s="156">
        <v>1469.95</v>
      </c>
      <c r="I3640" s="156">
        <v>242053</v>
      </c>
      <c r="J3640" s="156">
        <v>0</v>
      </c>
      <c r="K3640" s="131">
        <f t="shared" si="221"/>
        <v>243522.95</v>
      </c>
      <c r="L3640" s="134">
        <v>0.1792</v>
      </c>
    </row>
    <row r="3641" spans="3:12">
      <c r="C3641" s="161">
        <f t="shared" si="219"/>
        <v>2018</v>
      </c>
      <c r="D3641" s="35" t="s">
        <v>314</v>
      </c>
      <c r="E3641" s="227">
        <v>43344</v>
      </c>
      <c r="F3641" s="156">
        <v>360095.17</v>
      </c>
      <c r="G3641" s="131">
        <f t="shared" si="220"/>
        <v>64529.054463999993</v>
      </c>
      <c r="H3641" s="156">
        <v>338.15</v>
      </c>
      <c r="I3641" s="156">
        <v>247561.43</v>
      </c>
      <c r="J3641" s="156">
        <v>2572.9699999999998</v>
      </c>
      <c r="K3641" s="131">
        <f t="shared" si="221"/>
        <v>250472.55</v>
      </c>
      <c r="L3641" s="134">
        <v>0.1792</v>
      </c>
    </row>
    <row r="3642" spans="3:12">
      <c r="C3642" s="161">
        <f t="shared" si="219"/>
        <v>2018</v>
      </c>
      <c r="D3642" s="35" t="s">
        <v>314</v>
      </c>
      <c r="E3642" s="227">
        <v>43374</v>
      </c>
      <c r="F3642" s="156">
        <v>359339.19</v>
      </c>
      <c r="G3642" s="131">
        <f t="shared" si="220"/>
        <v>64393.582847999998</v>
      </c>
      <c r="H3642" s="156">
        <v>1236.5999999999999</v>
      </c>
      <c r="I3642" s="156">
        <v>-234925.22</v>
      </c>
      <c r="J3642" s="156">
        <v>0</v>
      </c>
      <c r="K3642" s="131">
        <f t="shared" si="221"/>
        <v>-233688.62</v>
      </c>
      <c r="L3642" s="134">
        <v>0.1792</v>
      </c>
    </row>
    <row r="3643" spans="3:12">
      <c r="C3643" s="161">
        <f t="shared" si="219"/>
        <v>2018</v>
      </c>
      <c r="D3643" s="35" t="s">
        <v>314</v>
      </c>
      <c r="E3643" s="227">
        <v>43405</v>
      </c>
      <c r="F3643" s="156">
        <v>346446.26527500001</v>
      </c>
      <c r="G3643" s="131">
        <f t="shared" si="220"/>
        <v>62083.170737280001</v>
      </c>
      <c r="H3643" s="156">
        <v>1165.8699999999999</v>
      </c>
      <c r="I3643" s="156">
        <v>2866.65</v>
      </c>
      <c r="J3643" s="156">
        <v>0</v>
      </c>
      <c r="K3643" s="131">
        <f t="shared" si="221"/>
        <v>4032.52</v>
      </c>
      <c r="L3643" s="134">
        <v>0.1792</v>
      </c>
    </row>
    <row r="3644" spans="3:12">
      <c r="C3644" s="161">
        <f t="shared" si="219"/>
        <v>2018</v>
      </c>
      <c r="D3644" s="35" t="s">
        <v>314</v>
      </c>
      <c r="E3644" s="227">
        <v>43435</v>
      </c>
      <c r="F3644" s="156">
        <v>381266.85</v>
      </c>
      <c r="G3644" s="131">
        <f t="shared" si="220"/>
        <v>68323.019520000002</v>
      </c>
      <c r="H3644" s="156">
        <v>1172.8800000000001</v>
      </c>
      <c r="I3644" s="156">
        <v>0</v>
      </c>
      <c r="J3644" s="156">
        <v>0</v>
      </c>
      <c r="K3644" s="131">
        <f t="shared" si="221"/>
        <v>1172.8800000000001</v>
      </c>
      <c r="L3644" s="134">
        <v>0.1792</v>
      </c>
    </row>
    <row r="3645" spans="3:12">
      <c r="C3645" s="161">
        <f t="shared" si="219"/>
        <v>2019</v>
      </c>
      <c r="D3645" s="35" t="s">
        <v>314</v>
      </c>
      <c r="E3645" s="227">
        <v>43466</v>
      </c>
      <c r="F3645" s="156">
        <v>373853.48</v>
      </c>
      <c r="G3645" s="131">
        <f t="shared" si="220"/>
        <v>66994.543615999995</v>
      </c>
      <c r="H3645" s="156">
        <v>1651.41</v>
      </c>
      <c r="I3645" s="156">
        <v>0</v>
      </c>
      <c r="J3645" s="156">
        <v>0</v>
      </c>
      <c r="K3645" s="131">
        <f t="shared" si="221"/>
        <v>1651.41</v>
      </c>
      <c r="L3645" s="134">
        <v>0.1792</v>
      </c>
    </row>
    <row r="3646" spans="3:12">
      <c r="C3646" s="161">
        <f t="shared" si="219"/>
        <v>2019</v>
      </c>
      <c r="D3646" s="35" t="s">
        <v>314</v>
      </c>
      <c r="E3646" s="227">
        <v>43497</v>
      </c>
      <c r="F3646" s="156">
        <v>385635.75</v>
      </c>
      <c r="G3646" s="131">
        <f t="shared" si="220"/>
        <v>69105.926399999997</v>
      </c>
      <c r="H3646" s="156">
        <v>613.77</v>
      </c>
      <c r="I3646" s="156">
        <v>0</v>
      </c>
      <c r="J3646" s="156">
        <v>0</v>
      </c>
      <c r="K3646" s="131">
        <f t="shared" si="221"/>
        <v>613.77</v>
      </c>
      <c r="L3646" s="134">
        <v>0.1792</v>
      </c>
    </row>
    <row r="3647" spans="3:12">
      <c r="C3647" s="161">
        <f t="shared" si="219"/>
        <v>2019</v>
      </c>
      <c r="D3647" s="35" t="s">
        <v>314</v>
      </c>
      <c r="E3647" s="227">
        <v>43525</v>
      </c>
      <c r="F3647" s="156">
        <v>333240.45</v>
      </c>
      <c r="G3647" s="131">
        <f t="shared" si="220"/>
        <v>59716.68864</v>
      </c>
      <c r="H3647" s="156">
        <v>1862.64</v>
      </c>
      <c r="I3647" s="156">
        <v>4093.24</v>
      </c>
      <c r="J3647" s="156">
        <v>0</v>
      </c>
      <c r="K3647" s="131">
        <f t="shared" si="221"/>
        <v>5955.88</v>
      </c>
      <c r="L3647" s="134">
        <v>0.1792</v>
      </c>
    </row>
    <row r="3648" spans="3:12">
      <c r="C3648" s="161">
        <f t="shared" si="219"/>
        <v>2019</v>
      </c>
      <c r="D3648" s="35" t="s">
        <v>314</v>
      </c>
      <c r="E3648" s="227">
        <v>43556</v>
      </c>
      <c r="F3648" s="156">
        <v>375779.61</v>
      </c>
      <c r="G3648" s="131">
        <f t="shared" si="220"/>
        <v>67339.706112</v>
      </c>
      <c r="H3648" s="156">
        <v>1301.53</v>
      </c>
      <c r="I3648" s="156">
        <v>1541.82</v>
      </c>
      <c r="J3648" s="156">
        <v>1100.1099999999999</v>
      </c>
      <c r="K3648" s="131">
        <f t="shared" si="221"/>
        <v>3943.46</v>
      </c>
      <c r="L3648" s="134">
        <v>0.1792</v>
      </c>
    </row>
    <row r="3649" spans="3:12">
      <c r="C3649" s="161">
        <f t="shared" si="219"/>
        <v>2019</v>
      </c>
      <c r="D3649" s="35" t="s">
        <v>314</v>
      </c>
      <c r="E3649" s="227">
        <v>43586</v>
      </c>
      <c r="F3649" s="156">
        <v>349282.13</v>
      </c>
      <c r="G3649" s="131">
        <f t="shared" si="220"/>
        <v>62591.357695999999</v>
      </c>
      <c r="H3649" s="156">
        <v>4229.87</v>
      </c>
      <c r="I3649" s="156">
        <v>2695.1</v>
      </c>
      <c r="J3649" s="156">
        <v>0</v>
      </c>
      <c r="K3649" s="131">
        <f t="shared" si="221"/>
        <v>6924.9699999999993</v>
      </c>
      <c r="L3649" s="134">
        <v>0.1792</v>
      </c>
    </row>
    <row r="3650" spans="3:12">
      <c r="C3650" s="161">
        <f t="shared" si="219"/>
        <v>2019</v>
      </c>
      <c r="D3650" s="35" t="s">
        <v>314</v>
      </c>
      <c r="E3650" s="227">
        <v>43617</v>
      </c>
      <c r="F3650" s="156">
        <v>401898.74</v>
      </c>
      <c r="G3650" s="131">
        <f t="shared" si="220"/>
        <v>72020.254207999998</v>
      </c>
      <c r="H3650" s="156">
        <v>5563.13</v>
      </c>
      <c r="I3650" s="156">
        <v>15074.16</v>
      </c>
      <c r="J3650" s="156">
        <v>0</v>
      </c>
      <c r="K3650" s="131">
        <f t="shared" si="221"/>
        <v>20637.29</v>
      </c>
      <c r="L3650" s="134">
        <v>0.1792</v>
      </c>
    </row>
    <row r="3651" spans="3:12">
      <c r="C3651" s="161">
        <f t="shared" si="219"/>
        <v>2019</v>
      </c>
      <c r="D3651" s="35" t="s">
        <v>314</v>
      </c>
      <c r="E3651" s="227">
        <v>43647</v>
      </c>
      <c r="F3651" s="156">
        <v>367299.68</v>
      </c>
      <c r="G3651" s="131">
        <f t="shared" si="220"/>
        <v>65820.102656000003</v>
      </c>
      <c r="H3651" s="156">
        <v>1309.56</v>
      </c>
      <c r="I3651" s="156">
        <v>83263.67</v>
      </c>
      <c r="J3651" s="156">
        <v>1816.3</v>
      </c>
      <c r="K3651" s="131">
        <f t="shared" si="221"/>
        <v>86389.53</v>
      </c>
      <c r="L3651" s="134">
        <v>0.1792</v>
      </c>
    </row>
    <row r="3652" spans="3:12">
      <c r="C3652" s="161">
        <f t="shared" ref="C3652:C3715" si="222">YEAR(E3652)</f>
        <v>2019</v>
      </c>
      <c r="D3652" s="35" t="s">
        <v>314</v>
      </c>
      <c r="E3652" s="227">
        <v>43678</v>
      </c>
      <c r="F3652" s="156">
        <v>361390.69</v>
      </c>
      <c r="G3652" s="131">
        <f t="shared" ref="G3652:G3715" si="223">F3652*L3652</f>
        <v>64761.211647999997</v>
      </c>
      <c r="H3652" s="156">
        <v>928.02</v>
      </c>
      <c r="I3652" s="156">
        <v>1944.36</v>
      </c>
      <c r="J3652" s="156">
        <v>0</v>
      </c>
      <c r="K3652" s="131">
        <f t="shared" ref="K3652:K3715" si="224">SUM(H3652:J3652)</f>
        <v>2872.38</v>
      </c>
      <c r="L3652" s="134">
        <v>0.1792</v>
      </c>
    </row>
    <row r="3653" spans="3:12">
      <c r="C3653" s="161">
        <f t="shared" si="222"/>
        <v>2019</v>
      </c>
      <c r="D3653" s="35" t="s">
        <v>314</v>
      </c>
      <c r="E3653" s="227">
        <v>43709</v>
      </c>
      <c r="F3653" s="156">
        <v>421649.03</v>
      </c>
      <c r="G3653" s="131">
        <f t="shared" si="223"/>
        <v>75559.50617600001</v>
      </c>
      <c r="H3653" s="156">
        <v>2665.04</v>
      </c>
      <c r="I3653" s="156">
        <v>1617.16</v>
      </c>
      <c r="J3653" s="156">
        <v>0</v>
      </c>
      <c r="K3653" s="131">
        <f t="shared" si="224"/>
        <v>4282.2</v>
      </c>
      <c r="L3653" s="134">
        <v>0.1792</v>
      </c>
    </row>
    <row r="3654" spans="3:12">
      <c r="C3654" s="161">
        <f t="shared" si="222"/>
        <v>2019</v>
      </c>
      <c r="D3654" s="35" t="s">
        <v>314</v>
      </c>
      <c r="E3654" s="227">
        <v>43739</v>
      </c>
      <c r="F3654" s="156">
        <v>414609.91999999998</v>
      </c>
      <c r="G3654" s="131">
        <f t="shared" si="223"/>
        <v>74298.097664000001</v>
      </c>
      <c r="H3654" s="156">
        <v>2007.84</v>
      </c>
      <c r="I3654" s="156">
        <v>2617.12</v>
      </c>
      <c r="J3654" s="156">
        <v>0</v>
      </c>
      <c r="K3654" s="131">
        <f t="shared" si="224"/>
        <v>4624.96</v>
      </c>
      <c r="L3654" s="134">
        <v>0.1792</v>
      </c>
    </row>
    <row r="3655" spans="3:12">
      <c r="C3655" s="161">
        <f t="shared" si="222"/>
        <v>2019</v>
      </c>
      <c r="D3655" s="35" t="s">
        <v>314</v>
      </c>
      <c r="E3655" s="227">
        <v>43770</v>
      </c>
      <c r="F3655" s="156">
        <v>458057.58</v>
      </c>
      <c r="G3655" s="131">
        <f t="shared" si="223"/>
        <v>82083.918336000002</v>
      </c>
      <c r="H3655" s="156">
        <v>1155.6099999999999</v>
      </c>
      <c r="I3655" s="156">
        <v>0</v>
      </c>
      <c r="J3655" s="156">
        <v>0</v>
      </c>
      <c r="K3655" s="131">
        <f t="shared" si="224"/>
        <v>1155.6099999999999</v>
      </c>
      <c r="L3655" s="134">
        <v>0.1792</v>
      </c>
    </row>
    <row r="3656" spans="3:12">
      <c r="C3656" s="161">
        <f t="shared" si="222"/>
        <v>2019</v>
      </c>
      <c r="D3656" s="35" t="s">
        <v>314</v>
      </c>
      <c r="E3656" s="227">
        <v>43800</v>
      </c>
      <c r="F3656" s="156">
        <v>413653.72</v>
      </c>
      <c r="G3656" s="131">
        <f t="shared" si="223"/>
        <v>74126.746623999992</v>
      </c>
      <c r="H3656" s="156">
        <v>1382.68</v>
      </c>
      <c r="I3656" s="156">
        <v>0</v>
      </c>
      <c r="J3656" s="156">
        <v>0</v>
      </c>
      <c r="K3656" s="131">
        <f t="shared" si="224"/>
        <v>1382.68</v>
      </c>
      <c r="L3656" s="134">
        <v>0.1792</v>
      </c>
    </row>
    <row r="3657" spans="3:12">
      <c r="C3657" s="161">
        <f t="shared" si="222"/>
        <v>2020</v>
      </c>
      <c r="D3657" s="35" t="s">
        <v>314</v>
      </c>
      <c r="E3657" s="227">
        <v>43831</v>
      </c>
      <c r="F3657" s="156">
        <v>382482.24</v>
      </c>
      <c r="G3657" s="131">
        <f t="shared" si="223"/>
        <v>68540.817408000003</v>
      </c>
      <c r="H3657" s="156">
        <v>1778.41</v>
      </c>
      <c r="I3657" s="156">
        <v>45135.14</v>
      </c>
      <c r="J3657" s="156">
        <v>0</v>
      </c>
      <c r="K3657" s="131">
        <f t="shared" si="224"/>
        <v>46913.55</v>
      </c>
      <c r="L3657" s="134">
        <v>0.1792</v>
      </c>
    </row>
    <row r="3658" spans="3:12">
      <c r="C3658" s="161">
        <f t="shared" si="222"/>
        <v>2020</v>
      </c>
      <c r="D3658" s="35" t="s">
        <v>314</v>
      </c>
      <c r="E3658" s="227">
        <v>43862</v>
      </c>
      <c r="F3658" s="156">
        <v>388868.97</v>
      </c>
      <c r="G3658" s="131">
        <f t="shared" si="223"/>
        <v>69685.319424000001</v>
      </c>
      <c r="H3658" s="156">
        <v>1082.03</v>
      </c>
      <c r="I3658" s="156">
        <v>0</v>
      </c>
      <c r="J3658" s="156">
        <v>0</v>
      </c>
      <c r="K3658" s="131">
        <f t="shared" si="224"/>
        <v>1082.03</v>
      </c>
      <c r="L3658" s="134">
        <v>0.1792</v>
      </c>
    </row>
    <row r="3659" spans="3:12">
      <c r="C3659" s="161">
        <f t="shared" si="222"/>
        <v>2020</v>
      </c>
      <c r="D3659" s="35" t="s">
        <v>314</v>
      </c>
      <c r="E3659" s="227">
        <v>43891</v>
      </c>
      <c r="F3659" s="156">
        <v>416876.668725</v>
      </c>
      <c r="G3659" s="131">
        <f t="shared" si="223"/>
        <v>74704.299035520002</v>
      </c>
      <c r="H3659" s="156">
        <v>1353.06</v>
      </c>
      <c r="I3659" s="156">
        <v>0</v>
      </c>
      <c r="J3659" s="156">
        <v>0</v>
      </c>
      <c r="K3659" s="131">
        <f t="shared" si="224"/>
        <v>1353.06</v>
      </c>
      <c r="L3659" s="134">
        <v>0.1792</v>
      </c>
    </row>
    <row r="3660" spans="3:12">
      <c r="C3660" s="161">
        <f t="shared" si="222"/>
        <v>2020</v>
      </c>
      <c r="D3660" s="35" t="s">
        <v>314</v>
      </c>
      <c r="E3660" s="227">
        <v>43922</v>
      </c>
      <c r="F3660" s="156">
        <v>399111.26722500002</v>
      </c>
      <c r="G3660" s="131">
        <f t="shared" si="223"/>
        <v>71520.739086720001</v>
      </c>
      <c r="H3660" s="156">
        <v>1409.59</v>
      </c>
      <c r="I3660" s="156">
        <v>12592.22</v>
      </c>
      <c r="J3660" s="156">
        <v>0</v>
      </c>
      <c r="K3660" s="131">
        <f t="shared" si="224"/>
        <v>14001.81</v>
      </c>
      <c r="L3660" s="134">
        <v>0.1792</v>
      </c>
    </row>
    <row r="3661" spans="3:12">
      <c r="C3661" s="161">
        <f t="shared" si="222"/>
        <v>2020</v>
      </c>
      <c r="D3661" s="35" t="s">
        <v>314</v>
      </c>
      <c r="E3661" s="227">
        <v>43952</v>
      </c>
      <c r="F3661" s="156">
        <v>376525.97</v>
      </c>
      <c r="G3661" s="131">
        <f t="shared" si="223"/>
        <v>67473.453823999997</v>
      </c>
      <c r="H3661" s="156">
        <v>533.66999999999996</v>
      </c>
      <c r="I3661" s="156">
        <v>21184.02</v>
      </c>
      <c r="J3661" s="156">
        <v>0</v>
      </c>
      <c r="K3661" s="131">
        <f t="shared" si="224"/>
        <v>21717.69</v>
      </c>
      <c r="L3661" s="134">
        <v>0.1792</v>
      </c>
    </row>
    <row r="3662" spans="3:12">
      <c r="C3662" s="161">
        <f t="shared" si="222"/>
        <v>2020</v>
      </c>
      <c r="D3662" s="35" t="s">
        <v>314</v>
      </c>
      <c r="E3662" s="227">
        <v>43983</v>
      </c>
      <c r="F3662" s="156">
        <v>346226.69</v>
      </c>
      <c r="G3662" s="131">
        <f t="shared" si="223"/>
        <v>62043.822847999996</v>
      </c>
      <c r="H3662" s="156">
        <v>456.3</v>
      </c>
      <c r="I3662" s="156">
        <v>19149.150000000001</v>
      </c>
      <c r="J3662" s="156">
        <v>0</v>
      </c>
      <c r="K3662" s="131">
        <f t="shared" si="224"/>
        <v>19605.45</v>
      </c>
      <c r="L3662" s="134">
        <v>0.1792</v>
      </c>
    </row>
    <row r="3663" spans="3:12">
      <c r="C3663" s="161">
        <f t="shared" si="222"/>
        <v>2020</v>
      </c>
      <c r="D3663" s="35" t="s">
        <v>314</v>
      </c>
      <c r="E3663" s="227">
        <v>44013</v>
      </c>
      <c r="F3663" s="156">
        <v>340230.93</v>
      </c>
      <c r="G3663" s="131">
        <f t="shared" si="223"/>
        <v>60969.382656000002</v>
      </c>
      <c r="H3663" s="156">
        <v>17690.86</v>
      </c>
      <c r="I3663" s="156">
        <v>661.47</v>
      </c>
      <c r="J3663" s="156">
        <v>0</v>
      </c>
      <c r="K3663" s="131">
        <f t="shared" si="224"/>
        <v>18352.330000000002</v>
      </c>
      <c r="L3663" s="134">
        <v>0.1792</v>
      </c>
    </row>
    <row r="3664" spans="3:12">
      <c r="C3664" s="161">
        <f t="shared" si="222"/>
        <v>2020</v>
      </c>
      <c r="D3664" s="35" t="s">
        <v>314</v>
      </c>
      <c r="E3664" s="227">
        <v>44044</v>
      </c>
      <c r="F3664" s="156">
        <v>399423.08</v>
      </c>
      <c r="G3664" s="131">
        <f t="shared" si="223"/>
        <v>71576.615936000002</v>
      </c>
      <c r="H3664" s="156">
        <v>792.08</v>
      </c>
      <c r="I3664" s="156">
        <v>1468.11</v>
      </c>
      <c r="J3664" s="156">
        <v>0</v>
      </c>
      <c r="K3664" s="131">
        <f t="shared" si="224"/>
        <v>2260.19</v>
      </c>
      <c r="L3664" s="134">
        <v>0.1792</v>
      </c>
    </row>
    <row r="3665" spans="3:12">
      <c r="C3665" s="161">
        <f t="shared" si="222"/>
        <v>2020</v>
      </c>
      <c r="D3665" s="35" t="s">
        <v>314</v>
      </c>
      <c r="E3665" s="227">
        <v>44075</v>
      </c>
      <c r="F3665" s="156">
        <v>367159.24</v>
      </c>
      <c r="G3665" s="131">
        <f t="shared" si="223"/>
        <v>65794.935807999995</v>
      </c>
      <c r="H3665" s="156">
        <v>606.76</v>
      </c>
      <c r="I3665" s="156">
        <v>1292.69</v>
      </c>
      <c r="J3665" s="156">
        <v>0</v>
      </c>
      <c r="K3665" s="131">
        <f t="shared" si="224"/>
        <v>1899.45</v>
      </c>
      <c r="L3665" s="134">
        <v>0.1792</v>
      </c>
    </row>
    <row r="3666" spans="3:12">
      <c r="C3666" s="161">
        <f t="shared" si="222"/>
        <v>2020</v>
      </c>
      <c r="D3666" s="35" t="s">
        <v>314</v>
      </c>
      <c r="E3666" s="227">
        <v>44105</v>
      </c>
      <c r="F3666" s="156">
        <v>437849.29</v>
      </c>
      <c r="G3666" s="131">
        <f t="shared" si="223"/>
        <v>78462.592768000002</v>
      </c>
      <c r="H3666" s="156">
        <v>30743</v>
      </c>
      <c r="I3666" s="156">
        <v>5392.96</v>
      </c>
      <c r="J3666" s="156">
        <v>16565</v>
      </c>
      <c r="K3666" s="131">
        <f t="shared" si="224"/>
        <v>52700.959999999999</v>
      </c>
      <c r="L3666" s="134">
        <v>0.1792</v>
      </c>
    </row>
    <row r="3667" spans="3:12">
      <c r="C3667" s="161">
        <f t="shared" si="222"/>
        <v>2020</v>
      </c>
      <c r="D3667" s="35" t="s">
        <v>314</v>
      </c>
      <c r="E3667" s="227">
        <v>44136</v>
      </c>
      <c r="F3667" s="156">
        <v>391978.51</v>
      </c>
      <c r="G3667" s="131">
        <f t="shared" si="223"/>
        <v>70242.548991999996</v>
      </c>
      <c r="H3667" s="156">
        <v>21172.66</v>
      </c>
      <c r="I3667" s="156">
        <v>1738.94</v>
      </c>
      <c r="J3667" s="156">
        <v>0</v>
      </c>
      <c r="K3667" s="131">
        <f t="shared" si="224"/>
        <v>22911.599999999999</v>
      </c>
      <c r="L3667" s="134">
        <v>0.1792</v>
      </c>
    </row>
    <row r="3668" spans="3:12">
      <c r="C3668" s="161">
        <f t="shared" si="222"/>
        <v>2020</v>
      </c>
      <c r="D3668" s="35" t="s">
        <v>314</v>
      </c>
      <c r="E3668" s="227">
        <v>44166</v>
      </c>
      <c r="F3668" s="156">
        <v>371757.67</v>
      </c>
      <c r="G3668" s="131">
        <f t="shared" si="223"/>
        <v>66618.974463999999</v>
      </c>
      <c r="H3668" s="156">
        <v>339.98</v>
      </c>
      <c r="I3668" s="156">
        <v>1541.16</v>
      </c>
      <c r="J3668" s="156">
        <v>0</v>
      </c>
      <c r="K3668" s="131">
        <f t="shared" si="224"/>
        <v>1881.14</v>
      </c>
      <c r="L3668" s="134">
        <v>0.1792</v>
      </c>
    </row>
    <row r="3669" spans="3:12">
      <c r="C3669" s="161">
        <f t="shared" si="222"/>
        <v>2021</v>
      </c>
      <c r="D3669" s="35" t="s">
        <v>314</v>
      </c>
      <c r="E3669" s="227">
        <v>44197</v>
      </c>
      <c r="F3669" s="156">
        <v>406557.24</v>
      </c>
      <c r="G3669" s="131">
        <f t="shared" si="223"/>
        <v>72855.057407999993</v>
      </c>
      <c r="H3669" s="156">
        <v>3544.52</v>
      </c>
      <c r="I3669" s="156">
        <v>1476.08</v>
      </c>
      <c r="J3669" s="156">
        <v>0</v>
      </c>
      <c r="K3669" s="131">
        <f t="shared" si="224"/>
        <v>5020.6000000000004</v>
      </c>
      <c r="L3669" s="134">
        <v>0.1792</v>
      </c>
    </row>
    <row r="3670" spans="3:12">
      <c r="C3670" s="161">
        <f t="shared" si="222"/>
        <v>2021</v>
      </c>
      <c r="D3670" s="35" t="s">
        <v>314</v>
      </c>
      <c r="E3670" s="227">
        <v>44229</v>
      </c>
      <c r="F3670" s="156">
        <v>389939.59</v>
      </c>
      <c r="G3670" s="131">
        <f t="shared" si="223"/>
        <v>69877.174528000003</v>
      </c>
      <c r="H3670" s="156">
        <v>1336.61</v>
      </c>
      <c r="I3670" s="156">
        <v>1421.1</v>
      </c>
      <c r="J3670" s="156">
        <v>0</v>
      </c>
      <c r="K3670" s="131">
        <f t="shared" si="224"/>
        <v>2757.71</v>
      </c>
      <c r="L3670" s="134">
        <v>0.1792</v>
      </c>
    </row>
    <row r="3671" spans="3:12">
      <c r="C3671" s="161">
        <f t="shared" si="222"/>
        <v>2021</v>
      </c>
      <c r="D3671" s="35" t="s">
        <v>314</v>
      </c>
      <c r="E3671" s="227">
        <v>44258</v>
      </c>
      <c r="F3671" s="156">
        <v>373419.91</v>
      </c>
      <c r="G3671" s="131">
        <f t="shared" si="223"/>
        <v>66916.847871999998</v>
      </c>
      <c r="H3671" s="156">
        <v>3308.11</v>
      </c>
      <c r="I3671" s="156">
        <v>1314.07</v>
      </c>
      <c r="J3671" s="156">
        <v>0</v>
      </c>
      <c r="K3671" s="131">
        <f t="shared" si="224"/>
        <v>4622.18</v>
      </c>
      <c r="L3671" s="134">
        <v>0.1792</v>
      </c>
    </row>
    <row r="3672" spans="3:12">
      <c r="C3672" s="161">
        <f t="shared" si="222"/>
        <v>2021</v>
      </c>
      <c r="D3672" s="35" t="s">
        <v>314</v>
      </c>
      <c r="E3672" s="227">
        <v>44290</v>
      </c>
      <c r="F3672" s="156">
        <v>387611.41</v>
      </c>
      <c r="G3672" s="131">
        <f t="shared" si="223"/>
        <v>69459.964672000002</v>
      </c>
      <c r="H3672" s="156">
        <v>19487.38</v>
      </c>
      <c r="I3672" s="156">
        <v>1822.17</v>
      </c>
      <c r="J3672" s="156">
        <v>0</v>
      </c>
      <c r="K3672" s="131">
        <f t="shared" si="224"/>
        <v>21309.550000000003</v>
      </c>
      <c r="L3672" s="134">
        <v>0.1792</v>
      </c>
    </row>
    <row r="3673" spans="3:12">
      <c r="C3673" s="161">
        <f t="shared" si="222"/>
        <v>2021</v>
      </c>
      <c r="D3673" s="35" t="s">
        <v>314</v>
      </c>
      <c r="E3673" s="227">
        <v>44321</v>
      </c>
      <c r="F3673" s="156">
        <v>346257.31</v>
      </c>
      <c r="G3673" s="131">
        <f t="shared" si="223"/>
        <v>62049.309951999996</v>
      </c>
      <c r="H3673" s="156">
        <v>10025.91</v>
      </c>
      <c r="I3673" s="156">
        <v>0</v>
      </c>
      <c r="J3673" s="156">
        <v>5967.64</v>
      </c>
      <c r="K3673" s="131">
        <f t="shared" si="224"/>
        <v>15993.55</v>
      </c>
      <c r="L3673" s="134">
        <v>0.1792</v>
      </c>
    </row>
    <row r="3674" spans="3:12">
      <c r="C3674" s="161">
        <f t="shared" si="222"/>
        <v>2021</v>
      </c>
      <c r="D3674" s="35" t="s">
        <v>314</v>
      </c>
      <c r="E3674" s="227">
        <v>44353</v>
      </c>
      <c r="F3674" s="156">
        <v>350329.4</v>
      </c>
      <c r="G3674" s="131">
        <f t="shared" si="223"/>
        <v>62779.028480000001</v>
      </c>
      <c r="H3674" s="156">
        <v>205.85</v>
      </c>
      <c r="I3674" s="156">
        <v>0</v>
      </c>
      <c r="J3674" s="156">
        <v>0</v>
      </c>
      <c r="K3674" s="131">
        <f t="shared" si="224"/>
        <v>205.85</v>
      </c>
      <c r="L3674" s="134">
        <v>0.1792</v>
      </c>
    </row>
    <row r="3675" spans="3:12">
      <c r="C3675" s="161">
        <f t="shared" si="222"/>
        <v>2015</v>
      </c>
      <c r="D3675" s="35" t="s">
        <v>315</v>
      </c>
      <c r="E3675" s="227">
        <v>42309</v>
      </c>
      <c r="F3675" s="156">
        <v>390521.27</v>
      </c>
      <c r="G3675" s="131">
        <f t="shared" si="223"/>
        <v>69981.411584000001</v>
      </c>
      <c r="H3675" s="156">
        <v>1313.97</v>
      </c>
      <c r="I3675" s="156">
        <v>5986.46</v>
      </c>
      <c r="J3675" s="156">
        <v>0</v>
      </c>
      <c r="K3675" s="131">
        <f t="shared" si="224"/>
        <v>7300.43</v>
      </c>
      <c r="L3675" s="134">
        <v>0.1792</v>
      </c>
    </row>
    <row r="3676" spans="3:12">
      <c r="C3676" s="161">
        <f t="shared" si="222"/>
        <v>2015</v>
      </c>
      <c r="D3676" s="35" t="s">
        <v>315</v>
      </c>
      <c r="E3676" s="227">
        <v>42339</v>
      </c>
      <c r="F3676" s="156">
        <v>348515.03</v>
      </c>
      <c r="G3676" s="131">
        <f t="shared" si="223"/>
        <v>62453.893376000007</v>
      </c>
      <c r="H3676" s="156">
        <v>940.37</v>
      </c>
      <c r="I3676" s="156">
        <v>0</v>
      </c>
      <c r="J3676" s="156">
        <v>0</v>
      </c>
      <c r="K3676" s="131">
        <f t="shared" si="224"/>
        <v>940.37</v>
      </c>
      <c r="L3676" s="134">
        <v>0.1792</v>
      </c>
    </row>
    <row r="3677" spans="3:12">
      <c r="C3677" s="161">
        <f t="shared" si="222"/>
        <v>2016</v>
      </c>
      <c r="D3677" s="35" t="s">
        <v>315</v>
      </c>
      <c r="E3677" s="227">
        <v>42370</v>
      </c>
      <c r="F3677" s="156">
        <v>389224.59</v>
      </c>
      <c r="G3677" s="131">
        <f t="shared" si="223"/>
        <v>69749.046528000006</v>
      </c>
      <c r="H3677" s="156">
        <v>533.16999999999996</v>
      </c>
      <c r="I3677" s="156">
        <v>0</v>
      </c>
      <c r="J3677" s="156">
        <v>0</v>
      </c>
      <c r="K3677" s="131">
        <f t="shared" si="224"/>
        <v>533.16999999999996</v>
      </c>
      <c r="L3677" s="134">
        <v>0.1792</v>
      </c>
    </row>
    <row r="3678" spans="3:12">
      <c r="C3678" s="161">
        <f t="shared" si="222"/>
        <v>2016</v>
      </c>
      <c r="D3678" s="35" t="s">
        <v>315</v>
      </c>
      <c r="E3678" s="227">
        <v>42401</v>
      </c>
      <c r="F3678" s="156">
        <v>358956.27</v>
      </c>
      <c r="G3678" s="131">
        <f t="shared" si="223"/>
        <v>64324.963584000005</v>
      </c>
      <c r="H3678" s="156">
        <v>822.09</v>
      </c>
      <c r="I3678" s="156">
        <v>0</v>
      </c>
      <c r="J3678" s="156">
        <v>0</v>
      </c>
      <c r="K3678" s="131">
        <f t="shared" si="224"/>
        <v>822.09</v>
      </c>
      <c r="L3678" s="134">
        <v>0.1792</v>
      </c>
    </row>
    <row r="3679" spans="3:12">
      <c r="C3679" s="161">
        <f t="shared" si="222"/>
        <v>2016</v>
      </c>
      <c r="D3679" s="35" t="s">
        <v>315</v>
      </c>
      <c r="E3679" s="227">
        <v>42430</v>
      </c>
      <c r="F3679" s="156">
        <v>342325.08</v>
      </c>
      <c r="G3679" s="131">
        <f t="shared" si="223"/>
        <v>61344.654336</v>
      </c>
      <c r="H3679" s="156">
        <v>2421.2800000000002</v>
      </c>
      <c r="I3679" s="156">
        <v>74501.33</v>
      </c>
      <c r="J3679" s="156">
        <v>0</v>
      </c>
      <c r="K3679" s="131">
        <f t="shared" si="224"/>
        <v>76922.61</v>
      </c>
      <c r="L3679" s="134">
        <v>0.1792</v>
      </c>
    </row>
    <row r="3680" spans="3:12">
      <c r="C3680" s="161">
        <f t="shared" si="222"/>
        <v>2016</v>
      </c>
      <c r="D3680" s="35" t="s">
        <v>315</v>
      </c>
      <c r="E3680" s="227">
        <v>42461</v>
      </c>
      <c r="F3680" s="156">
        <v>375409.96</v>
      </c>
      <c r="G3680" s="131">
        <f t="shared" si="223"/>
        <v>67273.464831999998</v>
      </c>
      <c r="H3680" s="156">
        <v>3233.82</v>
      </c>
      <c r="I3680" s="156">
        <v>0</v>
      </c>
      <c r="J3680" s="156">
        <v>7124.32</v>
      </c>
      <c r="K3680" s="131">
        <f t="shared" si="224"/>
        <v>10358.14</v>
      </c>
      <c r="L3680" s="134">
        <v>0.1792</v>
      </c>
    </row>
    <row r="3681" spans="3:12">
      <c r="C3681" s="161">
        <f t="shared" si="222"/>
        <v>2016</v>
      </c>
      <c r="D3681" s="35" t="s">
        <v>315</v>
      </c>
      <c r="E3681" s="227">
        <v>42491</v>
      </c>
      <c r="F3681" s="156">
        <v>366613.08</v>
      </c>
      <c r="G3681" s="131">
        <f t="shared" si="223"/>
        <v>65697.063936000006</v>
      </c>
      <c r="H3681" s="156">
        <v>1629.9</v>
      </c>
      <c r="I3681" s="156">
        <v>0</v>
      </c>
      <c r="J3681" s="156">
        <v>0</v>
      </c>
      <c r="K3681" s="131">
        <f t="shared" si="224"/>
        <v>1629.9</v>
      </c>
      <c r="L3681" s="134">
        <v>0.1792</v>
      </c>
    </row>
    <row r="3682" spans="3:12">
      <c r="C3682" s="161">
        <f t="shared" si="222"/>
        <v>2016</v>
      </c>
      <c r="D3682" s="35" t="s">
        <v>315</v>
      </c>
      <c r="E3682" s="227">
        <v>42522</v>
      </c>
      <c r="F3682" s="156">
        <v>367189.49</v>
      </c>
      <c r="G3682" s="131">
        <f t="shared" si="223"/>
        <v>65800.356608000002</v>
      </c>
      <c r="H3682" s="156">
        <v>2244.08</v>
      </c>
      <c r="I3682" s="156">
        <v>34610.46</v>
      </c>
      <c r="J3682" s="156">
        <v>4295.3500000000004</v>
      </c>
      <c r="K3682" s="131">
        <f t="shared" si="224"/>
        <v>41149.89</v>
      </c>
      <c r="L3682" s="134">
        <v>0.1792</v>
      </c>
    </row>
    <row r="3683" spans="3:12">
      <c r="C3683" s="161">
        <f t="shared" si="222"/>
        <v>2016</v>
      </c>
      <c r="D3683" s="35" t="s">
        <v>315</v>
      </c>
      <c r="E3683" s="227">
        <v>42552</v>
      </c>
      <c r="F3683" s="156">
        <v>393676.48</v>
      </c>
      <c r="G3683" s="131">
        <f t="shared" si="223"/>
        <v>70546.825215999997</v>
      </c>
      <c r="H3683" s="156">
        <v>1339.14</v>
      </c>
      <c r="I3683" s="156">
        <v>0</v>
      </c>
      <c r="J3683" s="156">
        <v>427.83</v>
      </c>
      <c r="K3683" s="131">
        <f t="shared" si="224"/>
        <v>1766.97</v>
      </c>
      <c r="L3683" s="134">
        <v>0.1792</v>
      </c>
    </row>
    <row r="3684" spans="3:12">
      <c r="C3684" s="161">
        <f t="shared" si="222"/>
        <v>2016</v>
      </c>
      <c r="D3684" s="35" t="s">
        <v>315</v>
      </c>
      <c r="E3684" s="227">
        <v>42583</v>
      </c>
      <c r="F3684" s="156">
        <v>409119.2</v>
      </c>
      <c r="G3684" s="131">
        <f t="shared" si="223"/>
        <v>73314.160640000002</v>
      </c>
      <c r="H3684" s="156">
        <v>3255.81</v>
      </c>
      <c r="I3684" s="156">
        <v>10043.15</v>
      </c>
      <c r="J3684" s="156">
        <v>0</v>
      </c>
      <c r="K3684" s="131">
        <f t="shared" si="224"/>
        <v>13298.96</v>
      </c>
      <c r="L3684" s="134">
        <v>0.1792</v>
      </c>
    </row>
    <row r="3685" spans="3:12">
      <c r="C3685" s="161">
        <f t="shared" si="222"/>
        <v>2016</v>
      </c>
      <c r="D3685" s="35" t="s">
        <v>315</v>
      </c>
      <c r="E3685" s="227">
        <v>42614</v>
      </c>
      <c r="F3685" s="156">
        <v>395839.52</v>
      </c>
      <c r="G3685" s="131">
        <f t="shared" si="223"/>
        <v>70934.441984000005</v>
      </c>
      <c r="H3685" s="156">
        <v>2002.97</v>
      </c>
      <c r="I3685" s="156">
        <v>0</v>
      </c>
      <c r="J3685" s="156">
        <v>0</v>
      </c>
      <c r="K3685" s="131">
        <f t="shared" si="224"/>
        <v>2002.97</v>
      </c>
      <c r="L3685" s="134">
        <v>0.1792</v>
      </c>
    </row>
    <row r="3686" spans="3:12">
      <c r="C3686" s="161">
        <f t="shared" si="222"/>
        <v>2016</v>
      </c>
      <c r="D3686" s="35" t="s">
        <v>315</v>
      </c>
      <c r="E3686" s="227">
        <v>42644</v>
      </c>
      <c r="F3686" s="156">
        <v>398543.55</v>
      </c>
      <c r="G3686" s="131">
        <f t="shared" si="223"/>
        <v>71419.004159999997</v>
      </c>
      <c r="H3686" s="156">
        <v>1164.7</v>
      </c>
      <c r="I3686" s="156">
        <v>1332.09</v>
      </c>
      <c r="J3686" s="156">
        <v>695.66</v>
      </c>
      <c r="K3686" s="131">
        <f t="shared" si="224"/>
        <v>3192.45</v>
      </c>
      <c r="L3686" s="134">
        <v>0.1792</v>
      </c>
    </row>
    <row r="3687" spans="3:12">
      <c r="C3687" s="161">
        <f t="shared" si="222"/>
        <v>2016</v>
      </c>
      <c r="D3687" s="35" t="s">
        <v>315</v>
      </c>
      <c r="E3687" s="227">
        <v>42675</v>
      </c>
      <c r="F3687" s="156">
        <v>423626.37</v>
      </c>
      <c r="G3687" s="131">
        <f t="shared" si="223"/>
        <v>75913.845503999997</v>
      </c>
      <c r="H3687" s="156">
        <v>32757.98</v>
      </c>
      <c r="I3687" s="156">
        <v>0</v>
      </c>
      <c r="J3687" s="156">
        <v>0</v>
      </c>
      <c r="K3687" s="131">
        <f t="shared" si="224"/>
        <v>32757.98</v>
      </c>
      <c r="L3687" s="134">
        <v>0.1792</v>
      </c>
    </row>
    <row r="3688" spans="3:12">
      <c r="C3688" s="161">
        <f t="shared" si="222"/>
        <v>2016</v>
      </c>
      <c r="D3688" s="35" t="s">
        <v>315</v>
      </c>
      <c r="E3688" s="227">
        <v>42705</v>
      </c>
      <c r="F3688" s="156">
        <v>432440.07</v>
      </c>
      <c r="G3688" s="131">
        <f t="shared" si="223"/>
        <v>77493.260544000004</v>
      </c>
      <c r="H3688" s="156">
        <v>1597.42</v>
      </c>
      <c r="I3688" s="156">
        <v>4837.7700000000004</v>
      </c>
      <c r="J3688" s="156">
        <v>0</v>
      </c>
      <c r="K3688" s="131">
        <f t="shared" si="224"/>
        <v>6435.1900000000005</v>
      </c>
      <c r="L3688" s="134">
        <v>0.1792</v>
      </c>
    </row>
    <row r="3689" spans="3:12">
      <c r="C3689" s="161">
        <f t="shared" si="222"/>
        <v>2017</v>
      </c>
      <c r="D3689" s="35" t="s">
        <v>315</v>
      </c>
      <c r="E3689" s="227">
        <v>42736</v>
      </c>
      <c r="F3689" s="156">
        <v>410862.48</v>
      </c>
      <c r="G3689" s="131">
        <f t="shared" si="223"/>
        <v>73626.556415999992</v>
      </c>
      <c r="H3689" s="156">
        <v>392.8</v>
      </c>
      <c r="I3689" s="156">
        <v>0</v>
      </c>
      <c r="J3689" s="156">
        <v>3216.81</v>
      </c>
      <c r="K3689" s="131">
        <f t="shared" si="224"/>
        <v>3609.61</v>
      </c>
      <c r="L3689" s="134">
        <v>0.1792</v>
      </c>
    </row>
    <row r="3690" spans="3:12">
      <c r="C3690" s="161">
        <f t="shared" si="222"/>
        <v>2017</v>
      </c>
      <c r="D3690" s="35" t="s">
        <v>315</v>
      </c>
      <c r="E3690" s="227">
        <v>42767</v>
      </c>
      <c r="F3690" s="156">
        <v>403699.33</v>
      </c>
      <c r="G3690" s="131">
        <f t="shared" si="223"/>
        <v>72342.919936000006</v>
      </c>
      <c r="H3690" s="156">
        <v>1260.95</v>
      </c>
      <c r="I3690" s="156">
        <v>0</v>
      </c>
      <c r="J3690" s="156">
        <v>1584.2</v>
      </c>
      <c r="K3690" s="131">
        <f t="shared" si="224"/>
        <v>2845.15</v>
      </c>
      <c r="L3690" s="134">
        <v>0.1792</v>
      </c>
    </row>
    <row r="3691" spans="3:12">
      <c r="C3691" s="161">
        <f t="shared" si="222"/>
        <v>2017</v>
      </c>
      <c r="D3691" s="35" t="s">
        <v>315</v>
      </c>
      <c r="E3691" s="227">
        <v>42795</v>
      </c>
      <c r="F3691" s="156">
        <v>381148.38</v>
      </c>
      <c r="G3691" s="131">
        <f t="shared" si="223"/>
        <v>68301.789696000007</v>
      </c>
      <c r="H3691" s="156">
        <v>4304.66</v>
      </c>
      <c r="I3691" s="156">
        <v>0</v>
      </c>
      <c r="J3691" s="156">
        <v>602.20000000000005</v>
      </c>
      <c r="K3691" s="131">
        <f t="shared" si="224"/>
        <v>4906.8599999999997</v>
      </c>
      <c r="L3691" s="134">
        <v>0.1792</v>
      </c>
    </row>
    <row r="3692" spans="3:12">
      <c r="C3692" s="161">
        <f t="shared" si="222"/>
        <v>2017</v>
      </c>
      <c r="D3692" s="35" t="s">
        <v>315</v>
      </c>
      <c r="E3692" s="227">
        <v>42826</v>
      </c>
      <c r="F3692" s="156">
        <v>413554.57</v>
      </c>
      <c r="G3692" s="131">
        <f t="shared" si="223"/>
        <v>74108.978944000002</v>
      </c>
      <c r="H3692" s="156">
        <v>3873.72</v>
      </c>
      <c r="I3692" s="156">
        <v>1547.06</v>
      </c>
      <c r="J3692" s="156">
        <v>0</v>
      </c>
      <c r="K3692" s="131">
        <f t="shared" si="224"/>
        <v>5420.78</v>
      </c>
      <c r="L3692" s="134">
        <v>0.1792</v>
      </c>
    </row>
    <row r="3693" spans="3:12">
      <c r="C3693" s="161">
        <f t="shared" si="222"/>
        <v>2017</v>
      </c>
      <c r="D3693" s="35" t="s">
        <v>315</v>
      </c>
      <c r="E3693" s="227">
        <v>42856</v>
      </c>
      <c r="F3693" s="156">
        <v>386956.28</v>
      </c>
      <c r="G3693" s="131">
        <f t="shared" si="223"/>
        <v>69342.565375999999</v>
      </c>
      <c r="H3693" s="156">
        <v>1679.9</v>
      </c>
      <c r="I3693" s="156">
        <v>0</v>
      </c>
      <c r="J3693" s="156">
        <v>0</v>
      </c>
      <c r="K3693" s="131">
        <f t="shared" si="224"/>
        <v>1679.9</v>
      </c>
      <c r="L3693" s="134">
        <v>0.1792</v>
      </c>
    </row>
    <row r="3694" spans="3:12">
      <c r="C3694" s="161">
        <f t="shared" si="222"/>
        <v>2017</v>
      </c>
      <c r="D3694" s="35" t="s">
        <v>315</v>
      </c>
      <c r="E3694" s="227">
        <v>42887</v>
      </c>
      <c r="F3694" s="156">
        <v>391717.09</v>
      </c>
      <c r="G3694" s="131">
        <f t="shared" si="223"/>
        <v>70195.702528000009</v>
      </c>
      <c r="H3694" s="156">
        <v>3269.29</v>
      </c>
      <c r="I3694" s="156">
        <v>1985.87</v>
      </c>
      <c r="J3694" s="156">
        <v>0</v>
      </c>
      <c r="K3694" s="131">
        <f t="shared" si="224"/>
        <v>5255.16</v>
      </c>
      <c r="L3694" s="134">
        <v>0.1792</v>
      </c>
    </row>
    <row r="3695" spans="3:12">
      <c r="C3695" s="161">
        <f t="shared" si="222"/>
        <v>2017</v>
      </c>
      <c r="D3695" s="35" t="s">
        <v>315</v>
      </c>
      <c r="E3695" s="227">
        <v>42917</v>
      </c>
      <c r="F3695" s="156">
        <v>406991.75</v>
      </c>
      <c r="G3695" s="131">
        <f t="shared" si="223"/>
        <v>72932.921600000001</v>
      </c>
      <c r="H3695" s="156">
        <v>1745.49</v>
      </c>
      <c r="I3695" s="156">
        <v>2015.98</v>
      </c>
      <c r="J3695" s="156">
        <v>0</v>
      </c>
      <c r="K3695" s="131">
        <f t="shared" si="224"/>
        <v>3761.4700000000003</v>
      </c>
      <c r="L3695" s="134">
        <v>0.1792</v>
      </c>
    </row>
    <row r="3696" spans="3:12">
      <c r="C3696" s="161">
        <f t="shared" si="222"/>
        <v>2017</v>
      </c>
      <c r="D3696" s="35" t="s">
        <v>315</v>
      </c>
      <c r="E3696" s="227">
        <v>42948</v>
      </c>
      <c r="F3696" s="156">
        <v>441260.39</v>
      </c>
      <c r="G3696" s="131">
        <f t="shared" si="223"/>
        <v>79073.861887999999</v>
      </c>
      <c r="H3696" s="156">
        <v>2885.33</v>
      </c>
      <c r="I3696" s="156">
        <v>2094.52</v>
      </c>
      <c r="J3696" s="156">
        <v>0</v>
      </c>
      <c r="K3696" s="131">
        <f t="shared" si="224"/>
        <v>4979.8500000000004</v>
      </c>
      <c r="L3696" s="134">
        <v>0.1792</v>
      </c>
    </row>
    <row r="3697" spans="3:12">
      <c r="C3697" s="161">
        <f t="shared" si="222"/>
        <v>2017</v>
      </c>
      <c r="D3697" s="35" t="s">
        <v>315</v>
      </c>
      <c r="E3697" s="227">
        <v>42979</v>
      </c>
      <c r="F3697" s="156">
        <v>467548.87</v>
      </c>
      <c r="G3697" s="131">
        <f t="shared" si="223"/>
        <v>83784.757503999994</v>
      </c>
      <c r="H3697" s="156">
        <v>976.85</v>
      </c>
      <c r="I3697" s="156">
        <v>1525.26</v>
      </c>
      <c r="J3697" s="156">
        <v>316.64999999999998</v>
      </c>
      <c r="K3697" s="131">
        <f t="shared" si="224"/>
        <v>2818.76</v>
      </c>
      <c r="L3697" s="134">
        <v>0.1792</v>
      </c>
    </row>
    <row r="3698" spans="3:12">
      <c r="C3698" s="161">
        <f t="shared" si="222"/>
        <v>2017</v>
      </c>
      <c r="D3698" s="35" t="s">
        <v>315</v>
      </c>
      <c r="E3698" s="227">
        <v>43009</v>
      </c>
      <c r="F3698" s="156">
        <v>451872.29</v>
      </c>
      <c r="G3698" s="131">
        <f t="shared" si="223"/>
        <v>80975.514367999989</v>
      </c>
      <c r="H3698" s="156">
        <v>1857.8</v>
      </c>
      <c r="I3698" s="156">
        <v>0</v>
      </c>
      <c r="J3698" s="156">
        <v>0</v>
      </c>
      <c r="K3698" s="131">
        <f t="shared" si="224"/>
        <v>1857.8</v>
      </c>
      <c r="L3698" s="134">
        <v>0.1792</v>
      </c>
    </row>
    <row r="3699" spans="3:12">
      <c r="C3699" s="161">
        <f t="shared" si="222"/>
        <v>2017</v>
      </c>
      <c r="D3699" s="35" t="s">
        <v>315</v>
      </c>
      <c r="E3699" s="227">
        <v>43040</v>
      </c>
      <c r="F3699" s="156">
        <v>449673.72</v>
      </c>
      <c r="G3699" s="131">
        <f t="shared" si="223"/>
        <v>80581.530623999992</v>
      </c>
      <c r="H3699" s="156">
        <v>1882.47</v>
      </c>
      <c r="I3699" s="156">
        <v>6782.72</v>
      </c>
      <c r="J3699" s="156">
        <v>0</v>
      </c>
      <c r="K3699" s="131">
        <f t="shared" si="224"/>
        <v>8665.19</v>
      </c>
      <c r="L3699" s="134">
        <v>0.1792</v>
      </c>
    </row>
    <row r="3700" spans="3:12">
      <c r="C3700" s="161">
        <f t="shared" si="222"/>
        <v>2017</v>
      </c>
      <c r="D3700" s="35" t="s">
        <v>315</v>
      </c>
      <c r="E3700" s="227">
        <v>43070</v>
      </c>
      <c r="F3700" s="156">
        <v>437534.85</v>
      </c>
      <c r="G3700" s="131">
        <f t="shared" si="223"/>
        <v>78406.245119999992</v>
      </c>
      <c r="H3700" s="156">
        <v>2369.94</v>
      </c>
      <c r="I3700" s="156">
        <v>17405.810000000001</v>
      </c>
      <c r="J3700" s="156">
        <v>0</v>
      </c>
      <c r="K3700" s="131">
        <f t="shared" si="224"/>
        <v>19775.75</v>
      </c>
      <c r="L3700" s="134">
        <v>0.1792</v>
      </c>
    </row>
    <row r="3701" spans="3:12">
      <c r="C3701" s="161">
        <f t="shared" si="222"/>
        <v>2018</v>
      </c>
      <c r="D3701" s="35" t="s">
        <v>315</v>
      </c>
      <c r="E3701" s="227">
        <v>43101</v>
      </c>
      <c r="F3701" s="156">
        <v>416373.3</v>
      </c>
      <c r="G3701" s="131">
        <f t="shared" si="223"/>
        <v>74614.095359999992</v>
      </c>
      <c r="H3701" s="156">
        <v>606.24</v>
      </c>
      <c r="I3701" s="156">
        <v>2485.34</v>
      </c>
      <c r="J3701" s="156">
        <v>0</v>
      </c>
      <c r="K3701" s="131">
        <f t="shared" si="224"/>
        <v>3091.58</v>
      </c>
      <c r="L3701" s="134">
        <v>0.1792</v>
      </c>
    </row>
    <row r="3702" spans="3:12">
      <c r="C3702" s="161">
        <f t="shared" si="222"/>
        <v>2018</v>
      </c>
      <c r="D3702" s="35" t="s">
        <v>315</v>
      </c>
      <c r="E3702" s="227">
        <v>43132</v>
      </c>
      <c r="F3702" s="156">
        <v>434950.23</v>
      </c>
      <c r="G3702" s="131">
        <f t="shared" si="223"/>
        <v>77943.081215999991</v>
      </c>
      <c r="H3702" s="156">
        <v>1411.03</v>
      </c>
      <c r="I3702" s="156">
        <v>0</v>
      </c>
      <c r="J3702" s="156">
        <v>0</v>
      </c>
      <c r="K3702" s="131">
        <f t="shared" si="224"/>
        <v>1411.03</v>
      </c>
      <c r="L3702" s="134">
        <v>0.1792</v>
      </c>
    </row>
    <row r="3703" spans="3:12">
      <c r="C3703" s="161">
        <f t="shared" si="222"/>
        <v>2018</v>
      </c>
      <c r="D3703" s="35" t="s">
        <v>315</v>
      </c>
      <c r="E3703" s="227">
        <v>43160</v>
      </c>
      <c r="F3703" s="156">
        <v>404046.07</v>
      </c>
      <c r="G3703" s="131">
        <f t="shared" si="223"/>
        <v>72405.055743999998</v>
      </c>
      <c r="H3703" s="156">
        <v>782.97</v>
      </c>
      <c r="I3703" s="156">
        <v>0</v>
      </c>
      <c r="J3703" s="156">
        <v>0</v>
      </c>
      <c r="K3703" s="131">
        <f t="shared" si="224"/>
        <v>782.97</v>
      </c>
      <c r="L3703" s="134">
        <v>0.1792</v>
      </c>
    </row>
    <row r="3704" spans="3:12">
      <c r="C3704" s="161">
        <f t="shared" si="222"/>
        <v>2018</v>
      </c>
      <c r="D3704" s="35" t="s">
        <v>315</v>
      </c>
      <c r="E3704" s="227">
        <v>43191</v>
      </c>
      <c r="F3704" s="156">
        <v>444916.65</v>
      </c>
      <c r="G3704" s="131">
        <f t="shared" si="223"/>
        <v>79729.063680000007</v>
      </c>
      <c r="H3704" s="156">
        <v>7959.39</v>
      </c>
      <c r="I3704" s="156">
        <v>38062.5</v>
      </c>
      <c r="J3704" s="156">
        <v>0</v>
      </c>
      <c r="K3704" s="131">
        <f t="shared" si="224"/>
        <v>46021.89</v>
      </c>
      <c r="L3704" s="134">
        <v>0.1792</v>
      </c>
    </row>
    <row r="3705" spans="3:12">
      <c r="C3705" s="161">
        <f t="shared" si="222"/>
        <v>2018</v>
      </c>
      <c r="D3705" s="35" t="s">
        <v>315</v>
      </c>
      <c r="E3705" s="227">
        <v>43221</v>
      </c>
      <c r="F3705" s="156">
        <v>433149.67</v>
      </c>
      <c r="G3705" s="131">
        <f t="shared" si="223"/>
        <v>77620.420864</v>
      </c>
      <c r="H3705" s="156">
        <v>3236.37</v>
      </c>
      <c r="I3705" s="156">
        <v>1823.27</v>
      </c>
      <c r="J3705" s="156">
        <v>0</v>
      </c>
      <c r="K3705" s="131">
        <f t="shared" si="224"/>
        <v>5059.6399999999994</v>
      </c>
      <c r="L3705" s="134">
        <v>0.1792</v>
      </c>
    </row>
    <row r="3706" spans="3:12">
      <c r="C3706" s="161">
        <f t="shared" si="222"/>
        <v>2018</v>
      </c>
      <c r="D3706" s="35" t="s">
        <v>315</v>
      </c>
      <c r="E3706" s="227">
        <v>43252</v>
      </c>
      <c r="F3706" s="156">
        <v>428661.63</v>
      </c>
      <c r="G3706" s="131">
        <f t="shared" si="223"/>
        <v>76816.164095999993</v>
      </c>
      <c r="H3706" s="156">
        <v>6408.9</v>
      </c>
      <c r="I3706" s="156">
        <v>1789.68</v>
      </c>
      <c r="J3706" s="156">
        <v>0</v>
      </c>
      <c r="K3706" s="131">
        <f t="shared" si="224"/>
        <v>8198.58</v>
      </c>
      <c r="L3706" s="134">
        <v>0.1792</v>
      </c>
    </row>
    <row r="3707" spans="3:12">
      <c r="C3707" s="161">
        <f t="shared" si="222"/>
        <v>2018</v>
      </c>
      <c r="D3707" s="35" t="s">
        <v>315</v>
      </c>
      <c r="E3707" s="227">
        <v>43282</v>
      </c>
      <c r="F3707" s="156">
        <v>426041.16</v>
      </c>
      <c r="G3707" s="131">
        <f t="shared" si="223"/>
        <v>76346.575872000001</v>
      </c>
      <c r="H3707" s="156">
        <v>3174.15</v>
      </c>
      <c r="I3707" s="156">
        <v>0</v>
      </c>
      <c r="J3707" s="156">
        <v>0</v>
      </c>
      <c r="K3707" s="131">
        <f t="shared" si="224"/>
        <v>3174.15</v>
      </c>
      <c r="L3707" s="134">
        <v>0.1792</v>
      </c>
    </row>
    <row r="3708" spans="3:12">
      <c r="C3708" s="161">
        <f t="shared" si="222"/>
        <v>2018</v>
      </c>
      <c r="D3708" s="35" t="s">
        <v>315</v>
      </c>
      <c r="E3708" s="227">
        <v>43313</v>
      </c>
      <c r="F3708" s="156">
        <v>434475.36</v>
      </c>
      <c r="G3708" s="131">
        <f t="shared" si="223"/>
        <v>77857.984511999995</v>
      </c>
      <c r="H3708" s="156">
        <v>923.09</v>
      </c>
      <c r="I3708" s="156">
        <v>2112.4499999999998</v>
      </c>
      <c r="J3708" s="156">
        <v>0</v>
      </c>
      <c r="K3708" s="131">
        <f t="shared" si="224"/>
        <v>3035.54</v>
      </c>
      <c r="L3708" s="134">
        <v>0.1792</v>
      </c>
    </row>
    <row r="3709" spans="3:12">
      <c r="C3709" s="161">
        <f t="shared" si="222"/>
        <v>2018</v>
      </c>
      <c r="D3709" s="35" t="s">
        <v>315</v>
      </c>
      <c r="E3709" s="227">
        <v>43344</v>
      </c>
      <c r="F3709" s="156">
        <v>438977.03</v>
      </c>
      <c r="G3709" s="131">
        <f t="shared" si="223"/>
        <v>78664.683776000005</v>
      </c>
      <c r="H3709" s="156">
        <v>774.56</v>
      </c>
      <c r="I3709" s="156">
        <v>0</v>
      </c>
      <c r="J3709" s="156">
        <v>0</v>
      </c>
      <c r="K3709" s="131">
        <f t="shared" si="224"/>
        <v>774.56</v>
      </c>
      <c r="L3709" s="134">
        <v>0.1792</v>
      </c>
    </row>
    <row r="3710" spans="3:12">
      <c r="C3710" s="161">
        <f t="shared" si="222"/>
        <v>2018</v>
      </c>
      <c r="D3710" s="35" t="s">
        <v>315</v>
      </c>
      <c r="E3710" s="227">
        <v>43374</v>
      </c>
      <c r="F3710" s="156">
        <v>440925.11</v>
      </c>
      <c r="G3710" s="131">
        <f t="shared" si="223"/>
        <v>79013.779712000003</v>
      </c>
      <c r="H3710" s="156">
        <v>1014.26</v>
      </c>
      <c r="I3710" s="156">
        <v>2180.29</v>
      </c>
      <c r="J3710" s="156">
        <v>0</v>
      </c>
      <c r="K3710" s="131">
        <f t="shared" si="224"/>
        <v>3194.55</v>
      </c>
      <c r="L3710" s="134">
        <v>0.1792</v>
      </c>
    </row>
    <row r="3711" spans="3:12">
      <c r="C3711" s="161">
        <f t="shared" si="222"/>
        <v>2018</v>
      </c>
      <c r="D3711" s="35" t="s">
        <v>315</v>
      </c>
      <c r="E3711" s="227">
        <v>43405</v>
      </c>
      <c r="F3711" s="156">
        <v>455808.17369999998</v>
      </c>
      <c r="G3711" s="131">
        <f t="shared" si="223"/>
        <v>81680.824727040002</v>
      </c>
      <c r="H3711" s="156">
        <v>1181.5</v>
      </c>
      <c r="I3711" s="156">
        <v>1702.62</v>
      </c>
      <c r="J3711" s="156">
        <v>43222.5</v>
      </c>
      <c r="K3711" s="131">
        <f t="shared" si="224"/>
        <v>46106.62</v>
      </c>
      <c r="L3711" s="134">
        <v>0.1792</v>
      </c>
    </row>
    <row r="3712" spans="3:12">
      <c r="C3712" s="161">
        <f t="shared" si="222"/>
        <v>2018</v>
      </c>
      <c r="D3712" s="35" t="s">
        <v>315</v>
      </c>
      <c r="E3712" s="227">
        <v>43435</v>
      </c>
      <c r="F3712" s="156">
        <v>461183.15</v>
      </c>
      <c r="G3712" s="131">
        <f t="shared" si="223"/>
        <v>82644.020480000007</v>
      </c>
      <c r="H3712" s="156">
        <v>1153.92</v>
      </c>
      <c r="I3712" s="156">
        <v>1198.31</v>
      </c>
      <c r="J3712" s="156">
        <v>3218.58</v>
      </c>
      <c r="K3712" s="131">
        <f t="shared" si="224"/>
        <v>5570.8099999999995</v>
      </c>
      <c r="L3712" s="134">
        <v>0.1792</v>
      </c>
    </row>
    <row r="3713" spans="3:12">
      <c r="C3713" s="161">
        <f t="shared" si="222"/>
        <v>2019</v>
      </c>
      <c r="D3713" s="35" t="s">
        <v>315</v>
      </c>
      <c r="E3713" s="227">
        <v>43466</v>
      </c>
      <c r="F3713" s="156">
        <v>473469.11</v>
      </c>
      <c r="G3713" s="131">
        <f t="shared" si="223"/>
        <v>84845.664512000003</v>
      </c>
      <c r="H3713" s="156">
        <v>641.28</v>
      </c>
      <c r="I3713" s="156">
        <v>11.05</v>
      </c>
      <c r="J3713" s="156">
        <v>0</v>
      </c>
      <c r="K3713" s="131">
        <f t="shared" si="224"/>
        <v>652.32999999999993</v>
      </c>
      <c r="L3713" s="134">
        <v>0.1792</v>
      </c>
    </row>
    <row r="3714" spans="3:12">
      <c r="C3714" s="161">
        <f t="shared" si="222"/>
        <v>2019</v>
      </c>
      <c r="D3714" s="35" t="s">
        <v>315</v>
      </c>
      <c r="E3714" s="227">
        <v>43497</v>
      </c>
      <c r="F3714" s="156">
        <v>469338.96</v>
      </c>
      <c r="G3714" s="131">
        <f t="shared" si="223"/>
        <v>84105.541632000008</v>
      </c>
      <c r="H3714" s="156">
        <v>7152.02</v>
      </c>
      <c r="I3714" s="156">
        <v>11.05</v>
      </c>
      <c r="J3714" s="156">
        <v>0</v>
      </c>
      <c r="K3714" s="131">
        <f t="shared" si="224"/>
        <v>7163.0700000000006</v>
      </c>
      <c r="L3714" s="134">
        <v>0.1792</v>
      </c>
    </row>
    <row r="3715" spans="3:12">
      <c r="C3715" s="161">
        <f t="shared" si="222"/>
        <v>2019</v>
      </c>
      <c r="D3715" s="35" t="s">
        <v>315</v>
      </c>
      <c r="E3715" s="227">
        <v>43525</v>
      </c>
      <c r="F3715" s="156">
        <v>416202.33</v>
      </c>
      <c r="G3715" s="131">
        <f t="shared" si="223"/>
        <v>74583.457536000002</v>
      </c>
      <c r="H3715" s="156">
        <v>1935.27</v>
      </c>
      <c r="I3715" s="156">
        <v>1699.4</v>
      </c>
      <c r="J3715" s="156">
        <v>0</v>
      </c>
      <c r="K3715" s="131">
        <f t="shared" si="224"/>
        <v>3634.67</v>
      </c>
      <c r="L3715" s="134">
        <v>0.1792</v>
      </c>
    </row>
    <row r="3716" spans="3:12">
      <c r="C3716" s="161">
        <f t="shared" ref="C3716:C3779" si="225">YEAR(E3716)</f>
        <v>2019</v>
      </c>
      <c r="D3716" s="35" t="s">
        <v>315</v>
      </c>
      <c r="E3716" s="227">
        <v>43556</v>
      </c>
      <c r="F3716" s="156">
        <v>474551.08</v>
      </c>
      <c r="G3716" s="131">
        <f t="shared" ref="G3716:G3779" si="226">F3716*L3716</f>
        <v>85039.553536000007</v>
      </c>
      <c r="H3716" s="156">
        <v>2522.69</v>
      </c>
      <c r="I3716" s="156">
        <v>1800.52</v>
      </c>
      <c r="J3716" s="156">
        <v>0</v>
      </c>
      <c r="K3716" s="131">
        <f t="shared" ref="K3716:K3779" si="227">SUM(H3716:J3716)</f>
        <v>4323.21</v>
      </c>
      <c r="L3716" s="134">
        <v>0.1792</v>
      </c>
    </row>
    <row r="3717" spans="3:12">
      <c r="C3717" s="161">
        <f t="shared" si="225"/>
        <v>2019</v>
      </c>
      <c r="D3717" s="35" t="s">
        <v>315</v>
      </c>
      <c r="E3717" s="227">
        <v>43586</v>
      </c>
      <c r="F3717" s="156">
        <v>432517.38</v>
      </c>
      <c r="G3717" s="131">
        <f t="shared" si="226"/>
        <v>77507.114495999995</v>
      </c>
      <c r="H3717" s="156">
        <v>12919.51</v>
      </c>
      <c r="I3717" s="156">
        <v>2606.96</v>
      </c>
      <c r="J3717" s="156">
        <v>0</v>
      </c>
      <c r="K3717" s="131">
        <f t="shared" si="227"/>
        <v>15526.470000000001</v>
      </c>
      <c r="L3717" s="134">
        <v>0.1792</v>
      </c>
    </row>
    <row r="3718" spans="3:12">
      <c r="C3718" s="161">
        <f t="shared" si="225"/>
        <v>2019</v>
      </c>
      <c r="D3718" s="35" t="s">
        <v>315</v>
      </c>
      <c r="E3718" s="227">
        <v>43617</v>
      </c>
      <c r="F3718" s="156">
        <v>451170.77</v>
      </c>
      <c r="G3718" s="131">
        <f t="shared" si="226"/>
        <v>80849.801984000005</v>
      </c>
      <c r="H3718" s="156">
        <v>200181.46</v>
      </c>
      <c r="I3718" s="156">
        <v>8760.43</v>
      </c>
      <c r="J3718" s="156">
        <v>0</v>
      </c>
      <c r="K3718" s="131">
        <f t="shared" si="227"/>
        <v>208941.88999999998</v>
      </c>
      <c r="L3718" s="134">
        <v>0.1792</v>
      </c>
    </row>
    <row r="3719" spans="3:12">
      <c r="C3719" s="161">
        <f t="shared" si="225"/>
        <v>2019</v>
      </c>
      <c r="D3719" s="35" t="s">
        <v>315</v>
      </c>
      <c r="E3719" s="227">
        <v>43647</v>
      </c>
      <c r="F3719" s="156">
        <v>451047.27</v>
      </c>
      <c r="G3719" s="131">
        <f t="shared" si="226"/>
        <v>80827.670784000002</v>
      </c>
      <c r="H3719" s="156">
        <v>157082.78</v>
      </c>
      <c r="I3719" s="156">
        <v>300748.94</v>
      </c>
      <c r="J3719" s="156">
        <v>707.8</v>
      </c>
      <c r="K3719" s="131">
        <f t="shared" si="227"/>
        <v>458539.51999999996</v>
      </c>
      <c r="L3719" s="134">
        <v>0.1792</v>
      </c>
    </row>
    <row r="3720" spans="3:12">
      <c r="C3720" s="161">
        <f t="shared" si="225"/>
        <v>2019</v>
      </c>
      <c r="D3720" s="35" t="s">
        <v>315</v>
      </c>
      <c r="E3720" s="227">
        <v>43678</v>
      </c>
      <c r="F3720" s="156">
        <v>467450.63</v>
      </c>
      <c r="G3720" s="131">
        <f t="shared" si="226"/>
        <v>83767.152896</v>
      </c>
      <c r="H3720" s="156">
        <v>82735.53</v>
      </c>
      <c r="I3720" s="156">
        <v>416258.14</v>
      </c>
      <c r="J3720" s="156">
        <v>0</v>
      </c>
      <c r="K3720" s="131">
        <f t="shared" si="227"/>
        <v>498993.67000000004</v>
      </c>
      <c r="L3720" s="134">
        <v>0.1792</v>
      </c>
    </row>
    <row r="3721" spans="3:12">
      <c r="C3721" s="161">
        <f t="shared" si="225"/>
        <v>2019</v>
      </c>
      <c r="D3721" s="35" t="s">
        <v>315</v>
      </c>
      <c r="E3721" s="227">
        <v>43709</v>
      </c>
      <c r="F3721" s="156">
        <v>520996.95</v>
      </c>
      <c r="G3721" s="131">
        <f t="shared" si="226"/>
        <v>93362.653439999995</v>
      </c>
      <c r="H3721" s="156">
        <v>102647.09</v>
      </c>
      <c r="I3721" s="156">
        <v>884221.8</v>
      </c>
      <c r="J3721" s="156">
        <v>8492</v>
      </c>
      <c r="K3721" s="131">
        <f t="shared" si="227"/>
        <v>995360.89</v>
      </c>
      <c r="L3721" s="134">
        <v>0.1792</v>
      </c>
    </row>
    <row r="3722" spans="3:12">
      <c r="C3722" s="161">
        <f t="shared" si="225"/>
        <v>2019</v>
      </c>
      <c r="D3722" s="35" t="s">
        <v>315</v>
      </c>
      <c r="E3722" s="227">
        <v>43739</v>
      </c>
      <c r="F3722" s="156">
        <v>511951.68</v>
      </c>
      <c r="G3722" s="131">
        <f t="shared" si="226"/>
        <v>91741.741055999999</v>
      </c>
      <c r="H3722" s="156">
        <v>921.43</v>
      </c>
      <c r="I3722" s="156">
        <v>684109.65</v>
      </c>
      <c r="J3722" s="156">
        <v>0</v>
      </c>
      <c r="K3722" s="131">
        <f t="shared" si="227"/>
        <v>685031.08000000007</v>
      </c>
      <c r="L3722" s="134">
        <v>0.1792</v>
      </c>
    </row>
    <row r="3723" spans="3:12">
      <c r="C3723" s="161">
        <f t="shared" si="225"/>
        <v>2019</v>
      </c>
      <c r="D3723" s="35" t="s">
        <v>315</v>
      </c>
      <c r="E3723" s="227">
        <v>43770</v>
      </c>
      <c r="F3723" s="156">
        <v>520513.82</v>
      </c>
      <c r="G3723" s="131">
        <f t="shared" si="226"/>
        <v>93276.076543999996</v>
      </c>
      <c r="H3723" s="156">
        <v>1445.22</v>
      </c>
      <c r="I3723" s="156">
        <v>625546.72</v>
      </c>
      <c r="J3723" s="156">
        <v>0</v>
      </c>
      <c r="K3723" s="131">
        <f t="shared" si="227"/>
        <v>626991.93999999994</v>
      </c>
      <c r="L3723" s="134">
        <v>0.1792</v>
      </c>
    </row>
    <row r="3724" spans="3:12">
      <c r="C3724" s="161">
        <f t="shared" si="225"/>
        <v>2019</v>
      </c>
      <c r="D3724" s="35" t="s">
        <v>315</v>
      </c>
      <c r="E3724" s="227">
        <v>43800</v>
      </c>
      <c r="F3724" s="156">
        <v>491627.73</v>
      </c>
      <c r="G3724" s="131">
        <f t="shared" si="226"/>
        <v>88099.689215999999</v>
      </c>
      <c r="H3724" s="156">
        <v>184.77</v>
      </c>
      <c r="I3724" s="156">
        <v>133334.06</v>
      </c>
      <c r="J3724" s="156">
        <v>0</v>
      </c>
      <c r="K3724" s="131">
        <f t="shared" si="227"/>
        <v>133518.82999999999</v>
      </c>
      <c r="L3724" s="134">
        <v>0.1792</v>
      </c>
    </row>
    <row r="3725" spans="3:12">
      <c r="C3725" s="161">
        <f t="shared" si="225"/>
        <v>2020</v>
      </c>
      <c r="D3725" s="35" t="s">
        <v>315</v>
      </c>
      <c r="E3725" s="227">
        <v>43831</v>
      </c>
      <c r="F3725" s="156">
        <v>508024</v>
      </c>
      <c r="G3725" s="131">
        <f t="shared" si="226"/>
        <v>91037.900800000003</v>
      </c>
      <c r="H3725" s="156">
        <v>1465133.35</v>
      </c>
      <c r="I3725" s="156">
        <v>114268.73</v>
      </c>
      <c r="J3725" s="156">
        <v>0</v>
      </c>
      <c r="K3725" s="131">
        <f t="shared" si="227"/>
        <v>1579402.08</v>
      </c>
      <c r="L3725" s="134">
        <v>0.1792</v>
      </c>
    </row>
    <row r="3726" spans="3:12">
      <c r="C3726" s="161">
        <f t="shared" si="225"/>
        <v>2020</v>
      </c>
      <c r="D3726" s="35" t="s">
        <v>315</v>
      </c>
      <c r="E3726" s="227">
        <v>43862</v>
      </c>
      <c r="F3726" s="156">
        <v>545938.78</v>
      </c>
      <c r="G3726" s="131">
        <f t="shared" si="226"/>
        <v>97832.229376000003</v>
      </c>
      <c r="H3726" s="156">
        <v>26292.06</v>
      </c>
      <c r="I3726" s="156">
        <v>22330.67</v>
      </c>
      <c r="J3726" s="156">
        <v>0</v>
      </c>
      <c r="K3726" s="131">
        <f t="shared" si="227"/>
        <v>48622.729999999996</v>
      </c>
      <c r="L3726" s="134">
        <v>0.1792</v>
      </c>
    </row>
    <row r="3727" spans="3:12">
      <c r="C3727" s="161">
        <f t="shared" si="225"/>
        <v>2020</v>
      </c>
      <c r="D3727" s="35" t="s">
        <v>315</v>
      </c>
      <c r="E3727" s="227">
        <v>43891</v>
      </c>
      <c r="F3727" s="156">
        <v>468385.26157500001</v>
      </c>
      <c r="G3727" s="131">
        <f t="shared" si="226"/>
        <v>83934.638874240001</v>
      </c>
      <c r="H3727" s="156">
        <v>6013.03</v>
      </c>
      <c r="I3727" s="156">
        <v>179023.38</v>
      </c>
      <c r="J3727" s="156">
        <v>0</v>
      </c>
      <c r="K3727" s="131">
        <f t="shared" si="227"/>
        <v>185036.41</v>
      </c>
      <c r="L3727" s="134">
        <v>0.1792</v>
      </c>
    </row>
    <row r="3728" spans="3:12">
      <c r="C3728" s="161">
        <f t="shared" si="225"/>
        <v>2020</v>
      </c>
      <c r="D3728" s="35" t="s">
        <v>315</v>
      </c>
      <c r="E3728" s="227">
        <v>43922</v>
      </c>
      <c r="F3728" s="156">
        <v>546574.31812499999</v>
      </c>
      <c r="G3728" s="131">
        <f t="shared" si="226"/>
        <v>97946.117807999995</v>
      </c>
      <c r="H3728" s="156">
        <v>7808.43</v>
      </c>
      <c r="I3728" s="156">
        <v>25797.52</v>
      </c>
      <c r="J3728" s="156">
        <v>0</v>
      </c>
      <c r="K3728" s="131">
        <f t="shared" si="227"/>
        <v>33605.949999999997</v>
      </c>
      <c r="L3728" s="134">
        <v>0.1792</v>
      </c>
    </row>
    <row r="3729" spans="3:12">
      <c r="C3729" s="161">
        <f t="shared" si="225"/>
        <v>2020</v>
      </c>
      <c r="D3729" s="35" t="s">
        <v>315</v>
      </c>
      <c r="E3729" s="227">
        <v>43952</v>
      </c>
      <c r="F3729" s="156">
        <v>513022.55</v>
      </c>
      <c r="G3729" s="131">
        <f t="shared" si="226"/>
        <v>91933.64095999999</v>
      </c>
      <c r="H3729" s="156">
        <v>1850.45</v>
      </c>
      <c r="I3729" s="156">
        <v>20324.91</v>
      </c>
      <c r="J3729" s="156">
        <v>0</v>
      </c>
      <c r="K3729" s="131">
        <f t="shared" si="227"/>
        <v>22175.360000000001</v>
      </c>
      <c r="L3729" s="134">
        <v>0.1792</v>
      </c>
    </row>
    <row r="3730" spans="3:12">
      <c r="C3730" s="161">
        <f t="shared" si="225"/>
        <v>2020</v>
      </c>
      <c r="D3730" s="35" t="s">
        <v>315</v>
      </c>
      <c r="E3730" s="227">
        <v>43983</v>
      </c>
      <c r="F3730" s="156">
        <v>488188.43</v>
      </c>
      <c r="G3730" s="131">
        <f t="shared" si="226"/>
        <v>87483.366655999998</v>
      </c>
      <c r="H3730" s="156">
        <v>13008.54</v>
      </c>
      <c r="I3730" s="156">
        <v>25724.44</v>
      </c>
      <c r="J3730" s="156">
        <v>0</v>
      </c>
      <c r="K3730" s="131">
        <f t="shared" si="227"/>
        <v>38732.979999999996</v>
      </c>
      <c r="L3730" s="134">
        <v>0.1792</v>
      </c>
    </row>
    <row r="3731" spans="3:12">
      <c r="C3731" s="161">
        <f t="shared" si="225"/>
        <v>2020</v>
      </c>
      <c r="D3731" s="35" t="s">
        <v>315</v>
      </c>
      <c r="E3731" s="227">
        <v>44013</v>
      </c>
      <c r="F3731" s="156">
        <v>497425.71</v>
      </c>
      <c r="G3731" s="131">
        <f t="shared" si="226"/>
        <v>89138.687231999997</v>
      </c>
      <c r="H3731" s="156">
        <v>6663.72</v>
      </c>
      <c r="I3731" s="156">
        <v>19116.57</v>
      </c>
      <c r="J3731" s="156">
        <v>0</v>
      </c>
      <c r="K3731" s="131">
        <f t="shared" si="227"/>
        <v>25780.29</v>
      </c>
      <c r="L3731" s="134">
        <v>0.1792</v>
      </c>
    </row>
    <row r="3732" spans="3:12">
      <c r="C3732" s="161">
        <f t="shared" si="225"/>
        <v>2020</v>
      </c>
      <c r="D3732" s="35" t="s">
        <v>315</v>
      </c>
      <c r="E3732" s="227">
        <v>44044</v>
      </c>
      <c r="F3732" s="156">
        <v>541929.13</v>
      </c>
      <c r="G3732" s="131">
        <f t="shared" si="226"/>
        <v>97113.700096</v>
      </c>
      <c r="H3732" s="156">
        <v>1792.08</v>
      </c>
      <c r="I3732" s="156">
        <v>26261.51</v>
      </c>
      <c r="J3732" s="156">
        <v>0</v>
      </c>
      <c r="K3732" s="131">
        <f t="shared" si="227"/>
        <v>28053.589999999997</v>
      </c>
      <c r="L3732" s="134">
        <v>0.1792</v>
      </c>
    </row>
    <row r="3733" spans="3:12">
      <c r="C3733" s="161">
        <f t="shared" si="225"/>
        <v>2020</v>
      </c>
      <c r="D3733" s="35" t="s">
        <v>315</v>
      </c>
      <c r="E3733" s="227">
        <v>44075</v>
      </c>
      <c r="F3733" s="156">
        <v>592475.4</v>
      </c>
      <c r="G3733" s="131">
        <f t="shared" si="226"/>
        <v>106171.59168</v>
      </c>
      <c r="H3733" s="156">
        <v>2524.73</v>
      </c>
      <c r="I3733" s="156">
        <v>27479.040000000001</v>
      </c>
      <c r="J3733" s="156">
        <v>0</v>
      </c>
      <c r="K3733" s="131">
        <f t="shared" si="227"/>
        <v>30003.77</v>
      </c>
      <c r="L3733" s="134">
        <v>0.1792</v>
      </c>
    </row>
    <row r="3734" spans="3:12">
      <c r="C3734" s="161">
        <f t="shared" si="225"/>
        <v>2020</v>
      </c>
      <c r="D3734" s="35" t="s">
        <v>315</v>
      </c>
      <c r="E3734" s="227">
        <v>44105</v>
      </c>
      <c r="F3734" s="156">
        <v>593738.06000000006</v>
      </c>
      <c r="G3734" s="131">
        <f t="shared" si="226"/>
        <v>106397.860352</v>
      </c>
      <c r="H3734" s="156">
        <v>1278.9000000000001</v>
      </c>
      <c r="I3734" s="156">
        <v>19023.96</v>
      </c>
      <c r="J3734" s="156">
        <v>0</v>
      </c>
      <c r="K3734" s="131">
        <f t="shared" si="227"/>
        <v>20302.86</v>
      </c>
      <c r="L3734" s="134">
        <v>0.1792</v>
      </c>
    </row>
    <row r="3735" spans="3:12">
      <c r="C3735" s="161">
        <f t="shared" si="225"/>
        <v>2020</v>
      </c>
      <c r="D3735" s="35" t="s">
        <v>315</v>
      </c>
      <c r="E3735" s="227">
        <v>44136</v>
      </c>
      <c r="F3735" s="156">
        <v>539598.21</v>
      </c>
      <c r="G3735" s="131">
        <f t="shared" si="226"/>
        <v>96695.999231999987</v>
      </c>
      <c r="H3735" s="156">
        <v>4486.4399999999996</v>
      </c>
      <c r="I3735" s="156">
        <v>19698.3</v>
      </c>
      <c r="J3735" s="156">
        <v>0</v>
      </c>
      <c r="K3735" s="131">
        <f t="shared" si="227"/>
        <v>24184.739999999998</v>
      </c>
      <c r="L3735" s="134">
        <v>0.1792</v>
      </c>
    </row>
    <row r="3736" spans="3:12">
      <c r="C3736" s="161">
        <f t="shared" si="225"/>
        <v>2020</v>
      </c>
      <c r="D3736" s="35" t="s">
        <v>315</v>
      </c>
      <c r="E3736" s="227">
        <v>44166</v>
      </c>
      <c r="F3736" s="156">
        <v>550166.44999999995</v>
      </c>
      <c r="G3736" s="131">
        <f t="shared" si="226"/>
        <v>98589.827839999984</v>
      </c>
      <c r="H3736" s="156">
        <v>609.01</v>
      </c>
      <c r="I3736" s="156">
        <v>19564.78</v>
      </c>
      <c r="J3736" s="156">
        <v>0</v>
      </c>
      <c r="K3736" s="131">
        <f t="shared" si="227"/>
        <v>20173.789999999997</v>
      </c>
      <c r="L3736" s="134">
        <v>0.1792</v>
      </c>
    </row>
    <row r="3737" spans="3:12">
      <c r="C3737" s="161">
        <f t="shared" si="225"/>
        <v>2021</v>
      </c>
      <c r="D3737" s="35" t="s">
        <v>315</v>
      </c>
      <c r="E3737" s="227">
        <v>44197</v>
      </c>
      <c r="F3737" s="156">
        <v>566895.68000000005</v>
      </c>
      <c r="G3737" s="131">
        <f t="shared" si="226"/>
        <v>101587.70585600002</v>
      </c>
      <c r="H3737" s="156">
        <v>2330.63</v>
      </c>
      <c r="I3737" s="156">
        <v>21785.75</v>
      </c>
      <c r="J3737" s="156">
        <v>0</v>
      </c>
      <c r="K3737" s="131">
        <f t="shared" si="227"/>
        <v>24116.38</v>
      </c>
      <c r="L3737" s="134">
        <v>0.1792</v>
      </c>
    </row>
    <row r="3738" spans="3:12">
      <c r="C3738" s="161">
        <f t="shared" si="225"/>
        <v>2021</v>
      </c>
      <c r="D3738" s="35" t="s">
        <v>315</v>
      </c>
      <c r="E3738" s="227">
        <v>44229</v>
      </c>
      <c r="F3738" s="156">
        <v>519401.33</v>
      </c>
      <c r="G3738" s="131">
        <f t="shared" si="226"/>
        <v>93076.718336000005</v>
      </c>
      <c r="H3738" s="156">
        <v>1069.1099999999999</v>
      </c>
      <c r="I3738" s="156">
        <v>23621.32</v>
      </c>
      <c r="J3738" s="156">
        <v>0</v>
      </c>
      <c r="K3738" s="131">
        <f t="shared" si="227"/>
        <v>24690.43</v>
      </c>
      <c r="L3738" s="134">
        <v>0.1792</v>
      </c>
    </row>
    <row r="3739" spans="3:12">
      <c r="C3739" s="161">
        <f t="shared" si="225"/>
        <v>2021</v>
      </c>
      <c r="D3739" s="35" t="s">
        <v>315</v>
      </c>
      <c r="E3739" s="227">
        <v>44258</v>
      </c>
      <c r="F3739" s="156">
        <v>510538.5</v>
      </c>
      <c r="G3739" s="131">
        <f t="shared" si="226"/>
        <v>91488.499200000006</v>
      </c>
      <c r="H3739" s="156">
        <v>5662.74</v>
      </c>
      <c r="I3739" s="156">
        <v>25676.560000000001</v>
      </c>
      <c r="J3739" s="156">
        <v>0</v>
      </c>
      <c r="K3739" s="131">
        <f t="shared" si="227"/>
        <v>31339.300000000003</v>
      </c>
      <c r="L3739" s="134">
        <v>0.1792</v>
      </c>
    </row>
    <row r="3740" spans="3:12">
      <c r="C3740" s="161">
        <f t="shared" si="225"/>
        <v>2021</v>
      </c>
      <c r="D3740" s="35" t="s">
        <v>315</v>
      </c>
      <c r="E3740" s="227">
        <v>44290</v>
      </c>
      <c r="F3740" s="156">
        <v>594360.52</v>
      </c>
      <c r="G3740" s="131">
        <f t="shared" si="226"/>
        <v>106509.405184</v>
      </c>
      <c r="H3740" s="156">
        <v>2925.43</v>
      </c>
      <c r="I3740" s="156">
        <v>20565.150000000001</v>
      </c>
      <c r="J3740" s="156">
        <v>0</v>
      </c>
      <c r="K3740" s="131">
        <f t="shared" si="227"/>
        <v>23490.58</v>
      </c>
      <c r="L3740" s="134">
        <v>0.1792</v>
      </c>
    </row>
    <row r="3741" spans="3:12">
      <c r="C3741" s="161">
        <f t="shared" si="225"/>
        <v>2021</v>
      </c>
      <c r="D3741" s="35" t="s">
        <v>315</v>
      </c>
      <c r="E3741" s="227">
        <v>44321</v>
      </c>
      <c r="F3741" s="156">
        <v>539640.57999999996</v>
      </c>
      <c r="G3741" s="131">
        <f t="shared" si="226"/>
        <v>96703.591935999997</v>
      </c>
      <c r="H3741" s="156">
        <v>15727.37</v>
      </c>
      <c r="I3741" s="156">
        <v>18742.759999999998</v>
      </c>
      <c r="J3741" s="156">
        <v>0</v>
      </c>
      <c r="K3741" s="131">
        <f t="shared" si="227"/>
        <v>34470.129999999997</v>
      </c>
      <c r="L3741" s="134">
        <v>0.1792</v>
      </c>
    </row>
    <row r="3742" spans="3:12">
      <c r="C3742" s="161">
        <f t="shared" si="225"/>
        <v>2021</v>
      </c>
      <c r="D3742" s="35" t="s">
        <v>315</v>
      </c>
      <c r="E3742" s="227">
        <v>44353</v>
      </c>
      <c r="F3742" s="156">
        <v>545859.83999999997</v>
      </c>
      <c r="G3742" s="131">
        <f t="shared" si="226"/>
        <v>97818.083327999993</v>
      </c>
      <c r="H3742" s="156">
        <v>0</v>
      </c>
      <c r="I3742" s="156">
        <v>18657.21</v>
      </c>
      <c r="J3742" s="156">
        <v>0</v>
      </c>
      <c r="K3742" s="131">
        <f t="shared" si="227"/>
        <v>18657.21</v>
      </c>
      <c r="L3742" s="134">
        <v>0.1792</v>
      </c>
    </row>
    <row r="3743" spans="3:12">
      <c r="C3743" s="161">
        <f t="shared" si="225"/>
        <v>2015</v>
      </c>
      <c r="D3743" s="35" t="s">
        <v>316</v>
      </c>
      <c r="E3743" s="227">
        <v>42309</v>
      </c>
      <c r="F3743" s="156">
        <v>683686.34235000005</v>
      </c>
      <c r="G3743" s="131">
        <f t="shared" si="226"/>
        <v>122516.59254912</v>
      </c>
      <c r="H3743" s="156">
        <v>3856.09</v>
      </c>
      <c r="I3743" s="156">
        <v>79178.2</v>
      </c>
      <c r="J3743" s="156">
        <v>0</v>
      </c>
      <c r="K3743" s="131">
        <f t="shared" si="227"/>
        <v>83034.289999999994</v>
      </c>
      <c r="L3743" s="134">
        <v>0.1792</v>
      </c>
    </row>
    <row r="3744" spans="3:12">
      <c r="C3744" s="161">
        <f t="shared" si="225"/>
        <v>2015</v>
      </c>
      <c r="D3744" s="35" t="s">
        <v>316</v>
      </c>
      <c r="E3744" s="227">
        <v>42339</v>
      </c>
      <c r="F3744" s="156">
        <v>644613.684825</v>
      </c>
      <c r="G3744" s="131">
        <f t="shared" si="226"/>
        <v>115514.77232064</v>
      </c>
      <c r="H3744" s="156">
        <v>3129.7</v>
      </c>
      <c r="I3744" s="156">
        <v>32434.86</v>
      </c>
      <c r="J3744" s="156">
        <v>62845.07</v>
      </c>
      <c r="K3744" s="131">
        <f t="shared" si="227"/>
        <v>98409.63</v>
      </c>
      <c r="L3744" s="134">
        <v>0.1792</v>
      </c>
    </row>
    <row r="3745" spans="3:12">
      <c r="C3745" s="161">
        <f t="shared" si="225"/>
        <v>2016</v>
      </c>
      <c r="D3745" s="35" t="s">
        <v>316</v>
      </c>
      <c r="E3745" s="227">
        <v>42370</v>
      </c>
      <c r="F3745" s="156">
        <v>662422.76430000004</v>
      </c>
      <c r="G3745" s="131">
        <f t="shared" si="226"/>
        <v>118706.15936256001</v>
      </c>
      <c r="H3745" s="156">
        <v>4799.55</v>
      </c>
      <c r="I3745" s="156">
        <v>53422.52</v>
      </c>
      <c r="J3745" s="156">
        <v>0</v>
      </c>
      <c r="K3745" s="131">
        <f t="shared" si="227"/>
        <v>58222.07</v>
      </c>
      <c r="L3745" s="134">
        <v>0.1792</v>
      </c>
    </row>
    <row r="3746" spans="3:12">
      <c r="C3746" s="161">
        <f t="shared" si="225"/>
        <v>2016</v>
      </c>
      <c r="D3746" s="35" t="s">
        <v>316</v>
      </c>
      <c r="E3746" s="227">
        <v>42401</v>
      </c>
      <c r="F3746" s="156">
        <v>678386.59680000006</v>
      </c>
      <c r="G3746" s="131">
        <f t="shared" si="226"/>
        <v>121566.87814656</v>
      </c>
      <c r="H3746" s="156">
        <v>175605.76000000001</v>
      </c>
      <c r="I3746" s="156">
        <v>109059.13</v>
      </c>
      <c r="J3746" s="156">
        <v>0</v>
      </c>
      <c r="K3746" s="131">
        <f t="shared" si="227"/>
        <v>284664.89</v>
      </c>
      <c r="L3746" s="134">
        <v>0.1792</v>
      </c>
    </row>
    <row r="3747" spans="3:12">
      <c r="C3747" s="161">
        <f t="shared" si="225"/>
        <v>2016</v>
      </c>
      <c r="D3747" s="35" t="s">
        <v>316</v>
      </c>
      <c r="E3747" s="227">
        <v>42430</v>
      </c>
      <c r="F3747" s="156">
        <v>620893.72207500006</v>
      </c>
      <c r="G3747" s="131">
        <f t="shared" si="226"/>
        <v>111264.15499584001</v>
      </c>
      <c r="H3747" s="156">
        <v>7509.34</v>
      </c>
      <c r="I3747" s="156">
        <v>22822.99</v>
      </c>
      <c r="J3747" s="156">
        <v>0</v>
      </c>
      <c r="K3747" s="131">
        <f t="shared" si="227"/>
        <v>30332.33</v>
      </c>
      <c r="L3747" s="134">
        <v>0.1792</v>
      </c>
    </row>
    <row r="3748" spans="3:12">
      <c r="C3748" s="161">
        <f t="shared" si="225"/>
        <v>2016</v>
      </c>
      <c r="D3748" s="35" t="s">
        <v>316</v>
      </c>
      <c r="E3748" s="227">
        <v>42461</v>
      </c>
      <c r="F3748" s="156">
        <v>689645.40480000002</v>
      </c>
      <c r="G3748" s="131">
        <f t="shared" si="226"/>
        <v>123584.45654016</v>
      </c>
      <c r="H3748" s="156">
        <v>4987.21</v>
      </c>
      <c r="I3748" s="156">
        <v>38737.550000000003</v>
      </c>
      <c r="J3748" s="156">
        <v>0</v>
      </c>
      <c r="K3748" s="131">
        <f t="shared" si="227"/>
        <v>43724.76</v>
      </c>
      <c r="L3748" s="134">
        <v>0.1792</v>
      </c>
    </row>
    <row r="3749" spans="3:12">
      <c r="C3749" s="161">
        <f t="shared" si="225"/>
        <v>2016</v>
      </c>
      <c r="D3749" s="35" t="s">
        <v>316</v>
      </c>
      <c r="E3749" s="227">
        <v>42491</v>
      </c>
      <c r="F3749" s="156">
        <v>616652.11245000002</v>
      </c>
      <c r="G3749" s="131">
        <f t="shared" si="226"/>
        <v>110504.05855104</v>
      </c>
      <c r="H3749" s="156">
        <v>18600.3</v>
      </c>
      <c r="I3749" s="156">
        <v>17329.04</v>
      </c>
      <c r="J3749" s="156">
        <v>0</v>
      </c>
      <c r="K3749" s="131">
        <f t="shared" si="227"/>
        <v>35929.339999999997</v>
      </c>
      <c r="L3749" s="134">
        <v>0.1792</v>
      </c>
    </row>
    <row r="3750" spans="3:12">
      <c r="C3750" s="161">
        <f t="shared" si="225"/>
        <v>2016</v>
      </c>
      <c r="D3750" s="35" t="s">
        <v>316</v>
      </c>
      <c r="E3750" s="227">
        <v>42522</v>
      </c>
      <c r="F3750" s="156">
        <v>606754.94467500004</v>
      </c>
      <c r="G3750" s="131">
        <f t="shared" si="226"/>
        <v>108730.48608576</v>
      </c>
      <c r="H3750" s="156">
        <v>7127.81</v>
      </c>
      <c r="I3750" s="156">
        <v>3474.48</v>
      </c>
      <c r="J3750" s="156">
        <v>13689.06</v>
      </c>
      <c r="K3750" s="131">
        <f t="shared" si="227"/>
        <v>24291.35</v>
      </c>
      <c r="L3750" s="134">
        <v>0.1792</v>
      </c>
    </row>
    <row r="3751" spans="3:12">
      <c r="C3751" s="161">
        <f t="shared" si="225"/>
        <v>2016</v>
      </c>
      <c r="D3751" s="35" t="s">
        <v>316</v>
      </c>
      <c r="E3751" s="227">
        <v>42552</v>
      </c>
      <c r="F3751" s="156">
        <v>685213.59224999999</v>
      </c>
      <c r="G3751" s="131">
        <f t="shared" si="226"/>
        <v>122790.2757312</v>
      </c>
      <c r="H3751" s="156">
        <v>718.55</v>
      </c>
      <c r="I3751" s="156">
        <v>-1758.92</v>
      </c>
      <c r="J3751" s="156">
        <v>0</v>
      </c>
      <c r="K3751" s="131">
        <f t="shared" si="227"/>
        <v>-1040.3700000000001</v>
      </c>
      <c r="L3751" s="134">
        <v>0.1792</v>
      </c>
    </row>
    <row r="3752" spans="3:12">
      <c r="C3752" s="161">
        <f t="shared" si="225"/>
        <v>2016</v>
      </c>
      <c r="D3752" s="35" t="s">
        <v>316</v>
      </c>
      <c r="E3752" s="227">
        <v>42583</v>
      </c>
      <c r="F3752" s="156">
        <v>729807.41625000001</v>
      </c>
      <c r="G3752" s="131">
        <f t="shared" si="226"/>
        <v>130781.488992</v>
      </c>
      <c r="H3752" s="156">
        <v>17080.27</v>
      </c>
      <c r="I3752" s="156">
        <v>1637.77</v>
      </c>
      <c r="J3752" s="156">
        <v>0</v>
      </c>
      <c r="K3752" s="131">
        <f t="shared" si="227"/>
        <v>18718.04</v>
      </c>
      <c r="L3752" s="134">
        <v>0.1792</v>
      </c>
    </row>
    <row r="3753" spans="3:12">
      <c r="C3753" s="161">
        <f t="shared" si="225"/>
        <v>2016</v>
      </c>
      <c r="D3753" s="35" t="s">
        <v>316</v>
      </c>
      <c r="E3753" s="227">
        <v>42614</v>
      </c>
      <c r="F3753" s="156">
        <v>697721.50139999995</v>
      </c>
      <c r="G3753" s="131">
        <f t="shared" si="226"/>
        <v>125031.69305087999</v>
      </c>
      <c r="H3753" s="156">
        <v>2108.09</v>
      </c>
      <c r="I3753" s="156">
        <v>809.26</v>
      </c>
      <c r="J3753" s="156">
        <v>0</v>
      </c>
      <c r="K3753" s="131">
        <f t="shared" si="227"/>
        <v>2917.3500000000004</v>
      </c>
      <c r="L3753" s="134">
        <v>0.1792</v>
      </c>
    </row>
    <row r="3754" spans="3:12">
      <c r="C3754" s="161">
        <f t="shared" si="225"/>
        <v>2016</v>
      </c>
      <c r="D3754" s="35" t="s">
        <v>316</v>
      </c>
      <c r="E3754" s="227">
        <v>42644</v>
      </c>
      <c r="F3754" s="156">
        <v>729746.02387499996</v>
      </c>
      <c r="G3754" s="131">
        <f t="shared" si="226"/>
        <v>130770.48747839998</v>
      </c>
      <c r="H3754" s="156">
        <v>18494.34</v>
      </c>
      <c r="I3754" s="156">
        <v>2599.7800000000002</v>
      </c>
      <c r="J3754" s="156">
        <v>0</v>
      </c>
      <c r="K3754" s="131">
        <f t="shared" si="227"/>
        <v>21094.12</v>
      </c>
      <c r="L3754" s="134">
        <v>0.1792</v>
      </c>
    </row>
    <row r="3755" spans="3:12">
      <c r="C3755" s="161">
        <f t="shared" si="225"/>
        <v>2016</v>
      </c>
      <c r="D3755" s="35" t="s">
        <v>316</v>
      </c>
      <c r="E3755" s="227">
        <v>42675</v>
      </c>
      <c r="F3755" s="156">
        <v>743019.55</v>
      </c>
      <c r="G3755" s="131">
        <f t="shared" si="226"/>
        <v>133149.10336000001</v>
      </c>
      <c r="H3755" s="156">
        <v>562.84</v>
      </c>
      <c r="I3755" s="156">
        <v>843.38</v>
      </c>
      <c r="J3755" s="156">
        <v>0</v>
      </c>
      <c r="K3755" s="131">
        <f t="shared" si="227"/>
        <v>1406.22</v>
      </c>
      <c r="L3755" s="134">
        <v>0.1792</v>
      </c>
    </row>
    <row r="3756" spans="3:12">
      <c r="C3756" s="161">
        <f t="shared" si="225"/>
        <v>2016</v>
      </c>
      <c r="D3756" s="35" t="s">
        <v>316</v>
      </c>
      <c r="E3756" s="227">
        <v>42705</v>
      </c>
      <c r="F3756" s="156">
        <v>749718.556125</v>
      </c>
      <c r="G3756" s="131">
        <f t="shared" si="226"/>
        <v>134349.56525759998</v>
      </c>
      <c r="H3756" s="156">
        <v>7312.73</v>
      </c>
      <c r="I3756" s="156">
        <v>738.84</v>
      </c>
      <c r="J3756" s="156">
        <v>537.70000000000005</v>
      </c>
      <c r="K3756" s="131">
        <f t="shared" si="227"/>
        <v>8589.27</v>
      </c>
      <c r="L3756" s="134">
        <v>0.1792</v>
      </c>
    </row>
    <row r="3757" spans="3:12">
      <c r="C3757" s="161">
        <f t="shared" si="225"/>
        <v>2017</v>
      </c>
      <c r="D3757" s="35" t="s">
        <v>316</v>
      </c>
      <c r="E3757" s="227">
        <v>42736</v>
      </c>
      <c r="F3757" s="156">
        <v>774143.21984999999</v>
      </c>
      <c r="G3757" s="131">
        <f t="shared" si="226"/>
        <v>138726.46499712</v>
      </c>
      <c r="H3757" s="156">
        <v>15522.65</v>
      </c>
      <c r="I3757" s="156">
        <v>588.86</v>
      </c>
      <c r="J3757" s="156">
        <v>6635.33</v>
      </c>
      <c r="K3757" s="131">
        <f t="shared" si="227"/>
        <v>22746.84</v>
      </c>
      <c r="L3757" s="134">
        <v>0.1792</v>
      </c>
    </row>
    <row r="3758" spans="3:12">
      <c r="C3758" s="161">
        <f t="shared" si="225"/>
        <v>2017</v>
      </c>
      <c r="D3758" s="35" t="s">
        <v>316</v>
      </c>
      <c r="E3758" s="227">
        <v>42767</v>
      </c>
      <c r="F3758" s="156">
        <v>773489.13922500005</v>
      </c>
      <c r="G3758" s="131">
        <f t="shared" si="226"/>
        <v>138609.25374912002</v>
      </c>
      <c r="H3758" s="156">
        <v>5007.29</v>
      </c>
      <c r="I3758" s="156">
        <v>0</v>
      </c>
      <c r="J3758" s="156">
        <v>790</v>
      </c>
      <c r="K3758" s="131">
        <f t="shared" si="227"/>
        <v>5797.29</v>
      </c>
      <c r="L3758" s="134">
        <v>0.1792</v>
      </c>
    </row>
    <row r="3759" spans="3:12">
      <c r="C3759" s="161">
        <f t="shared" si="225"/>
        <v>2017</v>
      </c>
      <c r="D3759" s="35" t="s">
        <v>316</v>
      </c>
      <c r="E3759" s="227">
        <v>42795</v>
      </c>
      <c r="F3759" s="156">
        <v>767794.68</v>
      </c>
      <c r="G3759" s="131">
        <f t="shared" si="226"/>
        <v>137588.806656</v>
      </c>
      <c r="H3759" s="156">
        <v>8294.5499999999993</v>
      </c>
      <c r="I3759" s="156">
        <v>0</v>
      </c>
      <c r="J3759" s="156">
        <v>0</v>
      </c>
      <c r="K3759" s="131">
        <f t="shared" si="227"/>
        <v>8294.5499999999993</v>
      </c>
      <c r="L3759" s="134">
        <v>0.1792</v>
      </c>
    </row>
    <row r="3760" spans="3:12">
      <c r="C3760" s="161">
        <f t="shared" si="225"/>
        <v>2017</v>
      </c>
      <c r="D3760" s="35" t="s">
        <v>316</v>
      </c>
      <c r="E3760" s="227">
        <v>42826</v>
      </c>
      <c r="F3760" s="156">
        <v>798078.63</v>
      </c>
      <c r="G3760" s="131">
        <f t="shared" si="226"/>
        <v>143015.690496</v>
      </c>
      <c r="H3760" s="156">
        <v>0</v>
      </c>
      <c r="I3760" s="156">
        <v>0</v>
      </c>
      <c r="J3760" s="156">
        <v>0</v>
      </c>
      <c r="K3760" s="131">
        <f t="shared" si="227"/>
        <v>0</v>
      </c>
      <c r="L3760" s="134">
        <v>0.1792</v>
      </c>
    </row>
    <row r="3761" spans="3:12">
      <c r="C3761" s="161">
        <f t="shared" si="225"/>
        <v>2017</v>
      </c>
      <c r="D3761" s="35" t="s">
        <v>316</v>
      </c>
      <c r="E3761" s="227">
        <v>42856</v>
      </c>
      <c r="F3761" s="156">
        <v>705435.45</v>
      </c>
      <c r="G3761" s="131">
        <f t="shared" si="226"/>
        <v>126414.03263999999</v>
      </c>
      <c r="H3761" s="156">
        <v>8681.9500000000007</v>
      </c>
      <c r="I3761" s="156">
        <v>0</v>
      </c>
      <c r="J3761" s="156">
        <v>0</v>
      </c>
      <c r="K3761" s="131">
        <f t="shared" si="227"/>
        <v>8681.9500000000007</v>
      </c>
      <c r="L3761" s="134">
        <v>0.1792</v>
      </c>
    </row>
    <row r="3762" spans="3:12">
      <c r="C3762" s="161">
        <f t="shared" si="225"/>
        <v>2017</v>
      </c>
      <c r="D3762" s="35" t="s">
        <v>316</v>
      </c>
      <c r="E3762" s="227">
        <v>42887</v>
      </c>
      <c r="F3762" s="156">
        <v>763306.01</v>
      </c>
      <c r="G3762" s="131">
        <f t="shared" si="226"/>
        <v>136784.436992</v>
      </c>
      <c r="H3762" s="156">
        <v>207014.71</v>
      </c>
      <c r="I3762" s="156">
        <v>1341.15</v>
      </c>
      <c r="J3762" s="156">
        <v>0</v>
      </c>
      <c r="K3762" s="131">
        <f t="shared" si="227"/>
        <v>208355.86</v>
      </c>
      <c r="L3762" s="134">
        <v>0.1792</v>
      </c>
    </row>
    <row r="3763" spans="3:12">
      <c r="C3763" s="161">
        <f t="shared" si="225"/>
        <v>2017</v>
      </c>
      <c r="D3763" s="35" t="s">
        <v>316</v>
      </c>
      <c r="E3763" s="227">
        <v>42917</v>
      </c>
      <c r="F3763" s="156">
        <v>754278.53</v>
      </c>
      <c r="G3763" s="131">
        <f t="shared" si="226"/>
        <v>135166.71257599999</v>
      </c>
      <c r="H3763" s="156">
        <v>737725.4</v>
      </c>
      <c r="I3763" s="156">
        <v>1865.25</v>
      </c>
      <c r="J3763" s="156">
        <v>0</v>
      </c>
      <c r="K3763" s="131">
        <f t="shared" si="227"/>
        <v>739590.65</v>
      </c>
      <c r="L3763" s="134">
        <v>0.1792</v>
      </c>
    </row>
    <row r="3764" spans="3:12">
      <c r="C3764" s="161">
        <f t="shared" si="225"/>
        <v>2017</v>
      </c>
      <c r="D3764" s="35" t="s">
        <v>316</v>
      </c>
      <c r="E3764" s="227">
        <v>42948</v>
      </c>
      <c r="F3764" s="156">
        <v>794695.59</v>
      </c>
      <c r="G3764" s="131">
        <f t="shared" si="226"/>
        <v>142409.44972800001</v>
      </c>
      <c r="H3764" s="156">
        <v>18039.88</v>
      </c>
      <c r="I3764" s="156">
        <v>0</v>
      </c>
      <c r="J3764" s="156">
        <v>0</v>
      </c>
      <c r="K3764" s="131">
        <f t="shared" si="227"/>
        <v>18039.88</v>
      </c>
      <c r="L3764" s="134">
        <v>0.1792</v>
      </c>
    </row>
    <row r="3765" spans="3:12">
      <c r="C3765" s="161">
        <f t="shared" si="225"/>
        <v>2017</v>
      </c>
      <c r="D3765" s="35" t="s">
        <v>316</v>
      </c>
      <c r="E3765" s="227">
        <v>42979</v>
      </c>
      <c r="F3765" s="156">
        <v>843298.71</v>
      </c>
      <c r="G3765" s="131">
        <f t="shared" si="226"/>
        <v>151119.12883199999</v>
      </c>
      <c r="H3765" s="156">
        <v>175.42</v>
      </c>
      <c r="I3765" s="156">
        <v>0</v>
      </c>
      <c r="J3765" s="156">
        <v>0</v>
      </c>
      <c r="K3765" s="131">
        <f t="shared" si="227"/>
        <v>175.42</v>
      </c>
      <c r="L3765" s="134">
        <v>0.1792</v>
      </c>
    </row>
    <row r="3766" spans="3:12">
      <c r="C3766" s="161">
        <f t="shared" si="225"/>
        <v>2017</v>
      </c>
      <c r="D3766" s="35" t="s">
        <v>316</v>
      </c>
      <c r="E3766" s="227">
        <v>43009</v>
      </c>
      <c r="F3766" s="156">
        <v>813724.19</v>
      </c>
      <c r="G3766" s="131">
        <f t="shared" si="226"/>
        <v>145819.37484799998</v>
      </c>
      <c r="H3766" s="156">
        <v>1293.08</v>
      </c>
      <c r="I3766" s="156">
        <v>0</v>
      </c>
      <c r="J3766" s="156">
        <v>0.02</v>
      </c>
      <c r="K3766" s="131">
        <f t="shared" si="227"/>
        <v>1293.0999999999999</v>
      </c>
      <c r="L3766" s="134">
        <v>0.1792</v>
      </c>
    </row>
    <row r="3767" spans="3:12">
      <c r="C3767" s="161">
        <f t="shared" si="225"/>
        <v>2017</v>
      </c>
      <c r="D3767" s="35" t="s">
        <v>316</v>
      </c>
      <c r="E3767" s="227">
        <v>43040</v>
      </c>
      <c r="F3767" s="156">
        <v>822392.86</v>
      </c>
      <c r="G3767" s="131">
        <f t="shared" si="226"/>
        <v>147372.80051199999</v>
      </c>
      <c r="H3767" s="156">
        <v>7319.28</v>
      </c>
      <c r="I3767" s="156">
        <v>0</v>
      </c>
      <c r="J3767" s="156">
        <v>0</v>
      </c>
      <c r="K3767" s="131">
        <f t="shared" si="227"/>
        <v>7319.28</v>
      </c>
      <c r="L3767" s="134">
        <v>0.1792</v>
      </c>
    </row>
    <row r="3768" spans="3:12">
      <c r="C3768" s="161">
        <f t="shared" si="225"/>
        <v>2017</v>
      </c>
      <c r="D3768" s="35" t="s">
        <v>316</v>
      </c>
      <c r="E3768" s="227">
        <v>43070</v>
      </c>
      <c r="F3768" s="156">
        <v>812950.61</v>
      </c>
      <c r="G3768" s="131">
        <f t="shared" si="226"/>
        <v>145680.749312</v>
      </c>
      <c r="H3768" s="156">
        <v>0</v>
      </c>
      <c r="I3768" s="156">
        <v>6825.65</v>
      </c>
      <c r="J3768" s="156">
        <v>0</v>
      </c>
      <c r="K3768" s="131">
        <f t="shared" si="227"/>
        <v>6825.65</v>
      </c>
      <c r="L3768" s="134">
        <v>0.1792</v>
      </c>
    </row>
    <row r="3769" spans="3:12">
      <c r="C3769" s="161">
        <f t="shared" si="225"/>
        <v>2018</v>
      </c>
      <c r="D3769" s="35" t="s">
        <v>316</v>
      </c>
      <c r="E3769" s="227">
        <v>43101</v>
      </c>
      <c r="F3769" s="156">
        <v>785326.97</v>
      </c>
      <c r="G3769" s="131">
        <f t="shared" si="226"/>
        <v>140730.593024</v>
      </c>
      <c r="H3769" s="156">
        <v>75569.69</v>
      </c>
      <c r="I3769" s="156">
        <v>0</v>
      </c>
      <c r="J3769" s="156">
        <v>0</v>
      </c>
      <c r="K3769" s="131">
        <f t="shared" si="227"/>
        <v>75569.69</v>
      </c>
      <c r="L3769" s="134">
        <v>0.1792</v>
      </c>
    </row>
    <row r="3770" spans="3:12">
      <c r="C3770" s="161">
        <f t="shared" si="225"/>
        <v>2018</v>
      </c>
      <c r="D3770" s="35" t="s">
        <v>316</v>
      </c>
      <c r="E3770" s="227">
        <v>43132</v>
      </c>
      <c r="F3770" s="156">
        <v>817634.4</v>
      </c>
      <c r="G3770" s="131">
        <f t="shared" si="226"/>
        <v>146520.08447999999</v>
      </c>
      <c r="H3770" s="156">
        <v>63232.27</v>
      </c>
      <c r="I3770" s="156">
        <v>3069.69</v>
      </c>
      <c r="J3770" s="156">
        <v>0</v>
      </c>
      <c r="K3770" s="131">
        <f t="shared" si="227"/>
        <v>66301.959999999992</v>
      </c>
      <c r="L3770" s="134">
        <v>0.1792</v>
      </c>
    </row>
    <row r="3771" spans="3:12">
      <c r="C3771" s="161">
        <f t="shared" si="225"/>
        <v>2018</v>
      </c>
      <c r="D3771" s="35" t="s">
        <v>316</v>
      </c>
      <c r="E3771" s="227">
        <v>43160</v>
      </c>
      <c r="F3771" s="156">
        <v>770409.29</v>
      </c>
      <c r="G3771" s="131">
        <f t="shared" si="226"/>
        <v>138057.34476800001</v>
      </c>
      <c r="H3771" s="156">
        <v>1614.6</v>
      </c>
      <c r="I3771" s="156">
        <v>2901.3</v>
      </c>
      <c r="J3771" s="156">
        <v>0</v>
      </c>
      <c r="K3771" s="131">
        <f t="shared" si="227"/>
        <v>4515.8999999999996</v>
      </c>
      <c r="L3771" s="134">
        <v>0.1792</v>
      </c>
    </row>
    <row r="3772" spans="3:12">
      <c r="C3772" s="161">
        <f t="shared" si="225"/>
        <v>2018</v>
      </c>
      <c r="D3772" s="35" t="s">
        <v>316</v>
      </c>
      <c r="E3772" s="227">
        <v>43191</v>
      </c>
      <c r="F3772" s="156">
        <v>824995.2</v>
      </c>
      <c r="G3772" s="131">
        <f t="shared" si="226"/>
        <v>147839.13983999999</v>
      </c>
      <c r="H3772" s="156">
        <v>3174.94</v>
      </c>
      <c r="I3772" s="156">
        <v>2368.98</v>
      </c>
      <c r="J3772" s="156">
        <v>0</v>
      </c>
      <c r="K3772" s="131">
        <f t="shared" si="227"/>
        <v>5543.92</v>
      </c>
      <c r="L3772" s="134">
        <v>0.1792</v>
      </c>
    </row>
    <row r="3773" spans="3:12">
      <c r="C3773" s="161">
        <f t="shared" si="225"/>
        <v>2018</v>
      </c>
      <c r="D3773" s="35" t="s">
        <v>316</v>
      </c>
      <c r="E3773" s="227">
        <v>43221</v>
      </c>
      <c r="F3773" s="156">
        <v>824343.13</v>
      </c>
      <c r="G3773" s="131">
        <f t="shared" si="226"/>
        <v>147722.28889600001</v>
      </c>
      <c r="H3773" s="156">
        <v>120119.38</v>
      </c>
      <c r="I3773" s="156">
        <v>2656.56</v>
      </c>
      <c r="J3773" s="156">
        <v>0</v>
      </c>
      <c r="K3773" s="131">
        <f t="shared" si="227"/>
        <v>122775.94</v>
      </c>
      <c r="L3773" s="134">
        <v>0.1792</v>
      </c>
    </row>
    <row r="3774" spans="3:12">
      <c r="C3774" s="161">
        <f t="shared" si="225"/>
        <v>2018</v>
      </c>
      <c r="D3774" s="35" t="s">
        <v>316</v>
      </c>
      <c r="E3774" s="227">
        <v>43252</v>
      </c>
      <c r="F3774" s="156">
        <v>770754.25</v>
      </c>
      <c r="G3774" s="131">
        <f t="shared" si="226"/>
        <v>138119.16159999999</v>
      </c>
      <c r="H3774" s="156">
        <v>0</v>
      </c>
      <c r="I3774" s="156">
        <v>500238.68</v>
      </c>
      <c r="J3774" s="156">
        <v>0</v>
      </c>
      <c r="K3774" s="131">
        <f t="shared" si="227"/>
        <v>500238.68</v>
      </c>
      <c r="L3774" s="134">
        <v>0.1792</v>
      </c>
    </row>
    <row r="3775" spans="3:12">
      <c r="C3775" s="161">
        <f t="shared" si="225"/>
        <v>2018</v>
      </c>
      <c r="D3775" s="35" t="s">
        <v>316</v>
      </c>
      <c r="E3775" s="227">
        <v>43282</v>
      </c>
      <c r="F3775" s="156">
        <v>783995.49</v>
      </c>
      <c r="G3775" s="131">
        <f t="shared" si="226"/>
        <v>140491.99180799999</v>
      </c>
      <c r="H3775" s="156">
        <v>0</v>
      </c>
      <c r="I3775" s="156">
        <v>2094.14</v>
      </c>
      <c r="J3775" s="156">
        <v>412.5</v>
      </c>
      <c r="K3775" s="131">
        <f t="shared" si="227"/>
        <v>2506.64</v>
      </c>
      <c r="L3775" s="134">
        <v>0.1792</v>
      </c>
    </row>
    <row r="3776" spans="3:12">
      <c r="C3776" s="161">
        <f t="shared" si="225"/>
        <v>2018</v>
      </c>
      <c r="D3776" s="35" t="s">
        <v>316</v>
      </c>
      <c r="E3776" s="227">
        <v>43313</v>
      </c>
      <c r="F3776" s="156">
        <v>796603.27</v>
      </c>
      <c r="G3776" s="131">
        <f t="shared" si="226"/>
        <v>142751.30598400001</v>
      </c>
      <c r="H3776" s="156">
        <v>0</v>
      </c>
      <c r="I3776" s="156">
        <v>107928.73</v>
      </c>
      <c r="J3776" s="156">
        <v>0</v>
      </c>
      <c r="K3776" s="131">
        <f t="shared" si="227"/>
        <v>107928.73</v>
      </c>
      <c r="L3776" s="134">
        <v>0.1792</v>
      </c>
    </row>
    <row r="3777" spans="3:12">
      <c r="C3777" s="161">
        <f t="shared" si="225"/>
        <v>2018</v>
      </c>
      <c r="D3777" s="35" t="s">
        <v>316</v>
      </c>
      <c r="E3777" s="227">
        <v>43344</v>
      </c>
      <c r="F3777" s="156">
        <v>808401.34</v>
      </c>
      <c r="G3777" s="131">
        <f t="shared" si="226"/>
        <v>144865.520128</v>
      </c>
      <c r="H3777" s="156">
        <v>261162.5</v>
      </c>
      <c r="I3777" s="156">
        <v>256027.55</v>
      </c>
      <c r="J3777" s="156">
        <v>583.30999999999995</v>
      </c>
      <c r="K3777" s="131">
        <f t="shared" si="227"/>
        <v>517773.36</v>
      </c>
      <c r="L3777" s="134">
        <v>0.1792</v>
      </c>
    </row>
    <row r="3778" spans="3:12">
      <c r="C3778" s="161">
        <f t="shared" si="225"/>
        <v>2018</v>
      </c>
      <c r="D3778" s="35" t="s">
        <v>316</v>
      </c>
      <c r="E3778" s="227">
        <v>43374</v>
      </c>
      <c r="F3778" s="156">
        <v>813718.41</v>
      </c>
      <c r="G3778" s="131">
        <f t="shared" si="226"/>
        <v>145818.339072</v>
      </c>
      <c r="H3778" s="156">
        <v>398510.52</v>
      </c>
      <c r="I3778" s="156">
        <v>105443.78</v>
      </c>
      <c r="J3778" s="156">
        <v>0</v>
      </c>
      <c r="K3778" s="131">
        <f t="shared" si="227"/>
        <v>503954.30000000005</v>
      </c>
      <c r="L3778" s="134">
        <v>0.1792</v>
      </c>
    </row>
    <row r="3779" spans="3:12">
      <c r="C3779" s="161">
        <f t="shared" si="225"/>
        <v>2018</v>
      </c>
      <c r="D3779" s="35" t="s">
        <v>316</v>
      </c>
      <c r="E3779" s="227">
        <v>43405</v>
      </c>
      <c r="F3779" s="156">
        <v>820199.79772499995</v>
      </c>
      <c r="G3779" s="131">
        <f t="shared" si="226"/>
        <v>146979.80375232</v>
      </c>
      <c r="H3779" s="156">
        <v>382546.92</v>
      </c>
      <c r="I3779" s="156">
        <v>387933.52</v>
      </c>
      <c r="J3779" s="156">
        <v>43886.44</v>
      </c>
      <c r="K3779" s="131">
        <f t="shared" si="227"/>
        <v>814366.87999999989</v>
      </c>
      <c r="L3779" s="134">
        <v>0.1792</v>
      </c>
    </row>
    <row r="3780" spans="3:12">
      <c r="C3780" s="161">
        <f t="shared" ref="C3780:C3843" si="228">YEAR(E3780)</f>
        <v>2018</v>
      </c>
      <c r="D3780" s="35" t="s">
        <v>316</v>
      </c>
      <c r="E3780" s="227">
        <v>43435</v>
      </c>
      <c r="F3780" s="156">
        <v>866971.51</v>
      </c>
      <c r="G3780" s="131">
        <f t="shared" ref="G3780:G3843" si="229">F3780*L3780</f>
        <v>155361.29459199999</v>
      </c>
      <c r="H3780" s="156">
        <v>23651.22</v>
      </c>
      <c r="I3780" s="156">
        <v>1479.37</v>
      </c>
      <c r="J3780" s="156">
        <v>0</v>
      </c>
      <c r="K3780" s="131">
        <f t="shared" ref="K3780:K3843" si="230">SUM(H3780:J3780)</f>
        <v>25130.59</v>
      </c>
      <c r="L3780" s="134">
        <v>0.1792</v>
      </c>
    </row>
    <row r="3781" spans="3:12">
      <c r="C3781" s="161">
        <f t="shared" si="228"/>
        <v>2019</v>
      </c>
      <c r="D3781" s="35" t="s">
        <v>316</v>
      </c>
      <c r="E3781" s="227">
        <v>43466</v>
      </c>
      <c r="F3781" s="156">
        <v>820410.57</v>
      </c>
      <c r="G3781" s="131">
        <f t="shared" si="229"/>
        <v>147017.57414399998</v>
      </c>
      <c r="H3781" s="156">
        <v>136087.22</v>
      </c>
      <c r="I3781" s="156">
        <v>656471.61</v>
      </c>
      <c r="J3781" s="156">
        <v>0</v>
      </c>
      <c r="K3781" s="131">
        <f t="shared" si="230"/>
        <v>792558.83</v>
      </c>
      <c r="L3781" s="134">
        <v>0.1792</v>
      </c>
    </row>
    <row r="3782" spans="3:12">
      <c r="C3782" s="161">
        <f t="shared" si="228"/>
        <v>2019</v>
      </c>
      <c r="D3782" s="35" t="s">
        <v>316</v>
      </c>
      <c r="E3782" s="227">
        <v>43497</v>
      </c>
      <c r="F3782" s="156">
        <v>856624.34</v>
      </c>
      <c r="G3782" s="131">
        <f t="shared" si="229"/>
        <v>153507.08172799999</v>
      </c>
      <c r="H3782" s="156">
        <v>0</v>
      </c>
      <c r="I3782" s="156">
        <v>11221.95</v>
      </c>
      <c r="J3782" s="156">
        <v>0</v>
      </c>
      <c r="K3782" s="131">
        <f t="shared" si="230"/>
        <v>11221.95</v>
      </c>
      <c r="L3782" s="134">
        <v>0.1792</v>
      </c>
    </row>
    <row r="3783" spans="3:12">
      <c r="C3783" s="161">
        <f t="shared" si="228"/>
        <v>2019</v>
      </c>
      <c r="D3783" s="35" t="s">
        <v>316</v>
      </c>
      <c r="E3783" s="227">
        <v>43525</v>
      </c>
      <c r="F3783" s="156">
        <v>799673.34</v>
      </c>
      <c r="G3783" s="131">
        <f t="shared" si="229"/>
        <v>143301.462528</v>
      </c>
      <c r="H3783" s="156">
        <v>4310.04</v>
      </c>
      <c r="I3783" s="156">
        <v>305671.53999999998</v>
      </c>
      <c r="J3783" s="156">
        <v>5059.92</v>
      </c>
      <c r="K3783" s="131">
        <f t="shared" si="230"/>
        <v>315041.49999999994</v>
      </c>
      <c r="L3783" s="134">
        <v>0.1792</v>
      </c>
    </row>
    <row r="3784" spans="3:12">
      <c r="C3784" s="161">
        <f t="shared" si="228"/>
        <v>2019</v>
      </c>
      <c r="D3784" s="35" t="s">
        <v>316</v>
      </c>
      <c r="E3784" s="227">
        <v>43556</v>
      </c>
      <c r="F3784" s="156">
        <v>862859</v>
      </c>
      <c r="G3784" s="131">
        <f t="shared" si="229"/>
        <v>154624.3328</v>
      </c>
      <c r="H3784" s="156">
        <v>6384.64</v>
      </c>
      <c r="I3784" s="156">
        <v>201575.49</v>
      </c>
      <c r="J3784" s="156">
        <v>0</v>
      </c>
      <c r="K3784" s="131">
        <f t="shared" si="230"/>
        <v>207960.13</v>
      </c>
      <c r="L3784" s="134">
        <v>0.1792</v>
      </c>
    </row>
    <row r="3785" spans="3:12">
      <c r="C3785" s="161">
        <f t="shared" si="228"/>
        <v>2019</v>
      </c>
      <c r="D3785" s="35" t="s">
        <v>316</v>
      </c>
      <c r="E3785" s="227">
        <v>43586</v>
      </c>
      <c r="F3785" s="156">
        <v>803080.61</v>
      </c>
      <c r="G3785" s="131">
        <f t="shared" si="229"/>
        <v>143912.045312</v>
      </c>
      <c r="H3785" s="156">
        <v>-54819.97</v>
      </c>
      <c r="I3785" s="156">
        <v>128246.96</v>
      </c>
      <c r="J3785" s="156">
        <v>0</v>
      </c>
      <c r="K3785" s="131">
        <f t="shared" si="230"/>
        <v>73426.990000000005</v>
      </c>
      <c r="L3785" s="134">
        <v>0.1792</v>
      </c>
    </row>
    <row r="3786" spans="3:12">
      <c r="C3786" s="161">
        <f t="shared" si="228"/>
        <v>2019</v>
      </c>
      <c r="D3786" s="35" t="s">
        <v>316</v>
      </c>
      <c r="E3786" s="227">
        <v>43617</v>
      </c>
      <c r="F3786" s="156">
        <v>832080.45</v>
      </c>
      <c r="G3786" s="131">
        <f t="shared" si="229"/>
        <v>149108.81664</v>
      </c>
      <c r="H3786" s="156">
        <v>4016.74</v>
      </c>
      <c r="I3786" s="156">
        <v>207587.81</v>
      </c>
      <c r="J3786" s="156">
        <v>0</v>
      </c>
      <c r="K3786" s="131">
        <f t="shared" si="230"/>
        <v>211604.55</v>
      </c>
      <c r="L3786" s="134">
        <v>0.1792</v>
      </c>
    </row>
    <row r="3787" spans="3:12">
      <c r="C3787" s="161">
        <f t="shared" si="228"/>
        <v>2019</v>
      </c>
      <c r="D3787" s="35" t="s">
        <v>316</v>
      </c>
      <c r="E3787" s="227">
        <v>43647</v>
      </c>
      <c r="F3787" s="156">
        <v>820819.06</v>
      </c>
      <c r="G3787" s="131">
        <f t="shared" si="229"/>
        <v>147090.77555200001</v>
      </c>
      <c r="H3787" s="156">
        <v>10635</v>
      </c>
      <c r="I3787" s="156">
        <v>369236.99</v>
      </c>
      <c r="J3787" s="156">
        <v>0</v>
      </c>
      <c r="K3787" s="131">
        <f t="shared" si="230"/>
        <v>379871.99</v>
      </c>
      <c r="L3787" s="134">
        <v>0.1792</v>
      </c>
    </row>
    <row r="3788" spans="3:12">
      <c r="C3788" s="161">
        <f t="shared" si="228"/>
        <v>2019</v>
      </c>
      <c r="D3788" s="35" t="s">
        <v>316</v>
      </c>
      <c r="E3788" s="227">
        <v>43678</v>
      </c>
      <c r="F3788" s="156">
        <v>842134.64</v>
      </c>
      <c r="G3788" s="131">
        <f t="shared" si="229"/>
        <v>150910.52748799999</v>
      </c>
      <c r="H3788" s="156">
        <v>1224.0999999999999</v>
      </c>
      <c r="I3788" s="156">
        <v>1845.37</v>
      </c>
      <c r="J3788" s="156">
        <v>0</v>
      </c>
      <c r="K3788" s="131">
        <f t="shared" si="230"/>
        <v>3069.47</v>
      </c>
      <c r="L3788" s="134">
        <v>0.1792</v>
      </c>
    </row>
    <row r="3789" spans="3:12">
      <c r="C3789" s="161">
        <f t="shared" si="228"/>
        <v>2019</v>
      </c>
      <c r="D3789" s="35" t="s">
        <v>316</v>
      </c>
      <c r="E3789" s="227">
        <v>43709</v>
      </c>
      <c r="F3789" s="156">
        <v>945207.19</v>
      </c>
      <c r="G3789" s="131">
        <f t="shared" si="229"/>
        <v>169381.12844799997</v>
      </c>
      <c r="H3789" s="156">
        <v>27619.77</v>
      </c>
      <c r="I3789" s="156">
        <v>439766.03</v>
      </c>
      <c r="J3789" s="156">
        <v>0</v>
      </c>
      <c r="K3789" s="131">
        <f t="shared" si="230"/>
        <v>467385.80000000005</v>
      </c>
      <c r="L3789" s="134">
        <v>0.1792</v>
      </c>
    </row>
    <row r="3790" spans="3:12">
      <c r="C3790" s="161">
        <f t="shared" si="228"/>
        <v>2019</v>
      </c>
      <c r="D3790" s="35" t="s">
        <v>316</v>
      </c>
      <c r="E3790" s="227">
        <v>43739</v>
      </c>
      <c r="F3790" s="156">
        <v>922650.02</v>
      </c>
      <c r="G3790" s="131">
        <f t="shared" si="229"/>
        <v>165338.883584</v>
      </c>
      <c r="H3790" s="156">
        <v>54238.07</v>
      </c>
      <c r="I3790" s="156">
        <v>1047.83</v>
      </c>
      <c r="J3790" s="156">
        <v>178506.28</v>
      </c>
      <c r="K3790" s="131">
        <f t="shared" si="230"/>
        <v>233792.18</v>
      </c>
      <c r="L3790" s="134">
        <v>0.1792</v>
      </c>
    </row>
    <row r="3791" spans="3:12">
      <c r="C3791" s="161">
        <f t="shared" si="228"/>
        <v>2019</v>
      </c>
      <c r="D3791" s="35" t="s">
        <v>316</v>
      </c>
      <c r="E3791" s="227">
        <v>43770</v>
      </c>
      <c r="F3791" s="156">
        <v>982937.84</v>
      </c>
      <c r="G3791" s="131">
        <f t="shared" si="229"/>
        <v>176142.46092799999</v>
      </c>
      <c r="H3791" s="156">
        <v>28147.73</v>
      </c>
      <c r="I3791" s="156">
        <v>1167.53</v>
      </c>
      <c r="J3791" s="156">
        <v>0</v>
      </c>
      <c r="K3791" s="131">
        <f t="shared" si="230"/>
        <v>29315.26</v>
      </c>
      <c r="L3791" s="134">
        <v>0.1792</v>
      </c>
    </row>
    <row r="3792" spans="3:12">
      <c r="C3792" s="161">
        <f t="shared" si="228"/>
        <v>2019</v>
      </c>
      <c r="D3792" s="35" t="s">
        <v>316</v>
      </c>
      <c r="E3792" s="227">
        <v>43800</v>
      </c>
      <c r="F3792" s="156">
        <v>917696.8</v>
      </c>
      <c r="G3792" s="131">
        <f t="shared" si="229"/>
        <v>164451.26656000002</v>
      </c>
      <c r="H3792" s="156">
        <v>6803.23</v>
      </c>
      <c r="I3792" s="156">
        <v>0</v>
      </c>
      <c r="J3792" s="156">
        <v>0</v>
      </c>
      <c r="K3792" s="131">
        <f t="shared" si="230"/>
        <v>6803.23</v>
      </c>
      <c r="L3792" s="134">
        <v>0.1792</v>
      </c>
    </row>
    <row r="3793" spans="3:12">
      <c r="C3793" s="161">
        <f t="shared" si="228"/>
        <v>2020</v>
      </c>
      <c r="D3793" s="35" t="s">
        <v>316</v>
      </c>
      <c r="E3793" s="227">
        <v>43831</v>
      </c>
      <c r="F3793" s="156">
        <v>952048.64000000001</v>
      </c>
      <c r="G3793" s="131">
        <f t="shared" si="229"/>
        <v>170607.11628799999</v>
      </c>
      <c r="H3793" s="156">
        <v>4446.74</v>
      </c>
      <c r="I3793" s="156">
        <v>0</v>
      </c>
      <c r="J3793" s="156">
        <v>0</v>
      </c>
      <c r="K3793" s="131">
        <f t="shared" si="230"/>
        <v>4446.74</v>
      </c>
      <c r="L3793" s="134">
        <v>0.1792</v>
      </c>
    </row>
    <row r="3794" spans="3:12">
      <c r="C3794" s="161">
        <f t="shared" si="228"/>
        <v>2020</v>
      </c>
      <c r="D3794" s="35" t="s">
        <v>316</v>
      </c>
      <c r="E3794" s="227">
        <v>43862</v>
      </c>
      <c r="F3794" s="156">
        <v>966814.91</v>
      </c>
      <c r="G3794" s="131">
        <f t="shared" si="229"/>
        <v>173253.231872</v>
      </c>
      <c r="H3794" s="156">
        <v>24258.92</v>
      </c>
      <c r="I3794" s="156">
        <v>2194.1799999999998</v>
      </c>
      <c r="J3794" s="156">
        <v>0</v>
      </c>
      <c r="K3794" s="131">
        <f t="shared" si="230"/>
        <v>26453.1</v>
      </c>
      <c r="L3794" s="134">
        <v>0.1792</v>
      </c>
    </row>
    <row r="3795" spans="3:12">
      <c r="C3795" s="161">
        <f t="shared" si="228"/>
        <v>2020</v>
      </c>
      <c r="D3795" s="35" t="s">
        <v>316</v>
      </c>
      <c r="E3795" s="227">
        <v>43891</v>
      </c>
      <c r="F3795" s="156">
        <v>948468.22537500004</v>
      </c>
      <c r="G3795" s="131">
        <f t="shared" si="229"/>
        <v>169965.50598720001</v>
      </c>
      <c r="H3795" s="156">
        <v>4436.38</v>
      </c>
      <c r="I3795" s="156">
        <v>3867.93</v>
      </c>
      <c r="J3795" s="156">
        <v>0</v>
      </c>
      <c r="K3795" s="131">
        <f t="shared" si="230"/>
        <v>8304.31</v>
      </c>
      <c r="L3795" s="134">
        <v>0.1792</v>
      </c>
    </row>
    <row r="3796" spans="3:12">
      <c r="C3796" s="161">
        <f t="shared" si="228"/>
        <v>2020</v>
      </c>
      <c r="D3796" s="35" t="s">
        <v>316</v>
      </c>
      <c r="E3796" s="227">
        <v>43922</v>
      </c>
      <c r="F3796" s="156">
        <v>1008494.0052</v>
      </c>
      <c r="G3796" s="131">
        <f t="shared" si="229"/>
        <v>180722.12573184</v>
      </c>
      <c r="H3796" s="156">
        <v>623.97</v>
      </c>
      <c r="I3796" s="156">
        <v>2362.15</v>
      </c>
      <c r="J3796" s="156">
        <v>0</v>
      </c>
      <c r="K3796" s="131">
        <f t="shared" si="230"/>
        <v>2986.12</v>
      </c>
      <c r="L3796" s="134">
        <v>0.1792</v>
      </c>
    </row>
    <row r="3797" spans="3:12">
      <c r="C3797" s="161">
        <f t="shared" si="228"/>
        <v>2020</v>
      </c>
      <c r="D3797" s="35" t="s">
        <v>316</v>
      </c>
      <c r="E3797" s="227">
        <v>43952</v>
      </c>
      <c r="F3797" s="156">
        <v>946748.84</v>
      </c>
      <c r="G3797" s="131">
        <f t="shared" si="229"/>
        <v>169657.39212800001</v>
      </c>
      <c r="H3797" s="156">
        <v>7089.53</v>
      </c>
      <c r="I3797" s="156">
        <v>2170.17</v>
      </c>
      <c r="J3797" s="156">
        <v>0</v>
      </c>
      <c r="K3797" s="131">
        <f t="shared" si="230"/>
        <v>9259.7000000000007</v>
      </c>
      <c r="L3797" s="134">
        <v>0.1792</v>
      </c>
    </row>
    <row r="3798" spans="3:12">
      <c r="C3798" s="161">
        <f t="shared" si="228"/>
        <v>2020</v>
      </c>
      <c r="D3798" s="35" t="s">
        <v>316</v>
      </c>
      <c r="E3798" s="227">
        <v>43983</v>
      </c>
      <c r="F3798" s="156">
        <v>907308.45</v>
      </c>
      <c r="G3798" s="131">
        <f t="shared" si="229"/>
        <v>162589.67423999999</v>
      </c>
      <c r="H3798" s="156">
        <v>1464.22</v>
      </c>
      <c r="I3798" s="156">
        <v>0</v>
      </c>
      <c r="J3798" s="156">
        <v>0</v>
      </c>
      <c r="K3798" s="131">
        <f t="shared" si="230"/>
        <v>1464.22</v>
      </c>
      <c r="L3798" s="134">
        <v>0.1792</v>
      </c>
    </row>
    <row r="3799" spans="3:12">
      <c r="C3799" s="161">
        <f t="shared" si="228"/>
        <v>2020</v>
      </c>
      <c r="D3799" s="35" t="s">
        <v>316</v>
      </c>
      <c r="E3799" s="227">
        <v>44013</v>
      </c>
      <c r="F3799" s="156">
        <v>891917.72</v>
      </c>
      <c r="G3799" s="131">
        <f t="shared" si="229"/>
        <v>159831.655424</v>
      </c>
      <c r="H3799" s="156">
        <v>10623.44</v>
      </c>
      <c r="I3799" s="156">
        <v>1381.66</v>
      </c>
      <c r="J3799" s="156">
        <v>0</v>
      </c>
      <c r="K3799" s="131">
        <f t="shared" si="230"/>
        <v>12005.1</v>
      </c>
      <c r="L3799" s="134">
        <v>0.1792</v>
      </c>
    </row>
    <row r="3800" spans="3:12">
      <c r="C3800" s="161">
        <f t="shared" si="228"/>
        <v>2020</v>
      </c>
      <c r="D3800" s="35" t="s">
        <v>316</v>
      </c>
      <c r="E3800" s="227">
        <v>44044</v>
      </c>
      <c r="F3800" s="156">
        <v>950469.17</v>
      </c>
      <c r="G3800" s="131">
        <f t="shared" si="229"/>
        <v>170324.07526400001</v>
      </c>
      <c r="H3800" s="156">
        <v>2148.3200000000002</v>
      </c>
      <c r="I3800" s="156">
        <v>0</v>
      </c>
      <c r="J3800" s="156">
        <v>0</v>
      </c>
      <c r="K3800" s="131">
        <f t="shared" si="230"/>
        <v>2148.3200000000002</v>
      </c>
      <c r="L3800" s="134">
        <v>0.1792</v>
      </c>
    </row>
    <row r="3801" spans="3:12">
      <c r="C3801" s="161">
        <f t="shared" si="228"/>
        <v>2020</v>
      </c>
      <c r="D3801" s="35" t="s">
        <v>316</v>
      </c>
      <c r="E3801" s="227">
        <v>44075</v>
      </c>
      <c r="F3801" s="156">
        <v>1021789.17</v>
      </c>
      <c r="G3801" s="131">
        <f t="shared" si="229"/>
        <v>183104.61926400001</v>
      </c>
      <c r="H3801" s="156">
        <v>229.45</v>
      </c>
      <c r="I3801" s="156">
        <v>13469.93</v>
      </c>
      <c r="J3801" s="156">
        <v>0</v>
      </c>
      <c r="K3801" s="131">
        <f t="shared" si="230"/>
        <v>13699.380000000001</v>
      </c>
      <c r="L3801" s="134">
        <v>0.1792</v>
      </c>
    </row>
    <row r="3802" spans="3:12">
      <c r="C3802" s="161">
        <f t="shared" si="228"/>
        <v>2020</v>
      </c>
      <c r="D3802" s="35" t="s">
        <v>316</v>
      </c>
      <c r="E3802" s="227">
        <v>44105</v>
      </c>
      <c r="F3802" s="156">
        <v>1080649.94</v>
      </c>
      <c r="G3802" s="131">
        <f t="shared" si="229"/>
        <v>193652.46924799998</v>
      </c>
      <c r="H3802" s="156">
        <v>0</v>
      </c>
      <c r="I3802" s="156">
        <v>73.45</v>
      </c>
      <c r="J3802" s="156">
        <v>0</v>
      </c>
      <c r="K3802" s="131">
        <f t="shared" si="230"/>
        <v>73.45</v>
      </c>
      <c r="L3802" s="134">
        <v>0.1792</v>
      </c>
    </row>
    <row r="3803" spans="3:12">
      <c r="C3803" s="161">
        <f t="shared" si="228"/>
        <v>2020</v>
      </c>
      <c r="D3803" s="35" t="s">
        <v>316</v>
      </c>
      <c r="E3803" s="227">
        <v>44136</v>
      </c>
      <c r="F3803" s="156">
        <v>994440.3</v>
      </c>
      <c r="G3803" s="131">
        <f t="shared" si="229"/>
        <v>178203.70176</v>
      </c>
      <c r="H3803" s="156">
        <v>21516.04</v>
      </c>
      <c r="I3803" s="156">
        <v>1878.35</v>
      </c>
      <c r="J3803" s="156">
        <v>0</v>
      </c>
      <c r="K3803" s="131">
        <f t="shared" si="230"/>
        <v>23394.39</v>
      </c>
      <c r="L3803" s="134">
        <v>0.1792</v>
      </c>
    </row>
    <row r="3804" spans="3:12">
      <c r="C3804" s="161">
        <f t="shared" si="228"/>
        <v>2020</v>
      </c>
      <c r="D3804" s="35" t="s">
        <v>316</v>
      </c>
      <c r="E3804" s="227">
        <v>44166</v>
      </c>
      <c r="F3804" s="156">
        <v>1033627.72</v>
      </c>
      <c r="G3804" s="131">
        <f t="shared" si="229"/>
        <v>185226.087424</v>
      </c>
      <c r="H3804" s="156">
        <v>23607.97</v>
      </c>
      <c r="I3804" s="156">
        <v>64281.31</v>
      </c>
      <c r="J3804" s="156">
        <v>446.68</v>
      </c>
      <c r="K3804" s="131">
        <f t="shared" si="230"/>
        <v>88335.959999999992</v>
      </c>
      <c r="L3804" s="134">
        <v>0.1792</v>
      </c>
    </row>
    <row r="3805" spans="3:12">
      <c r="C3805" s="161">
        <f t="shared" si="228"/>
        <v>2021</v>
      </c>
      <c r="D3805" s="35" t="s">
        <v>316</v>
      </c>
      <c r="E3805" s="227">
        <v>44197</v>
      </c>
      <c r="F3805" s="156">
        <v>1043643.57</v>
      </c>
      <c r="G3805" s="131">
        <f t="shared" si="229"/>
        <v>187020.92774399999</v>
      </c>
      <c r="H3805" s="156">
        <v>2583.96</v>
      </c>
      <c r="I3805" s="156">
        <v>20055.02</v>
      </c>
      <c r="J3805" s="156">
        <v>2254</v>
      </c>
      <c r="K3805" s="131">
        <f t="shared" si="230"/>
        <v>24892.98</v>
      </c>
      <c r="L3805" s="134">
        <v>0.1792</v>
      </c>
    </row>
    <row r="3806" spans="3:12">
      <c r="C3806" s="161">
        <f t="shared" si="228"/>
        <v>2021</v>
      </c>
      <c r="D3806" s="35" t="s">
        <v>316</v>
      </c>
      <c r="E3806" s="227">
        <v>44229</v>
      </c>
      <c r="F3806" s="156">
        <v>994049.47</v>
      </c>
      <c r="G3806" s="131">
        <f t="shared" si="229"/>
        <v>178133.66502399999</v>
      </c>
      <c r="H3806" s="156">
        <v>14332.9</v>
      </c>
      <c r="I3806" s="156">
        <v>148025.81</v>
      </c>
      <c r="J3806" s="156">
        <v>0</v>
      </c>
      <c r="K3806" s="131">
        <f t="shared" si="230"/>
        <v>162358.71</v>
      </c>
      <c r="L3806" s="134">
        <v>0.1792</v>
      </c>
    </row>
    <row r="3807" spans="3:12">
      <c r="C3807" s="161">
        <f t="shared" si="228"/>
        <v>2021</v>
      </c>
      <c r="D3807" s="35" t="s">
        <v>316</v>
      </c>
      <c r="E3807" s="227">
        <v>44258</v>
      </c>
      <c r="F3807" s="156">
        <v>966423.27</v>
      </c>
      <c r="G3807" s="131">
        <f t="shared" si="229"/>
        <v>173183.04998400001</v>
      </c>
      <c r="H3807" s="156">
        <v>11777.96</v>
      </c>
      <c r="I3807" s="156">
        <v>258123.86</v>
      </c>
      <c r="J3807" s="156">
        <v>0</v>
      </c>
      <c r="K3807" s="131">
        <f t="shared" si="230"/>
        <v>269901.82</v>
      </c>
      <c r="L3807" s="134">
        <v>0.1792</v>
      </c>
    </row>
    <row r="3808" spans="3:12">
      <c r="C3808" s="161">
        <f t="shared" si="228"/>
        <v>2021</v>
      </c>
      <c r="D3808" s="35" t="s">
        <v>316</v>
      </c>
      <c r="E3808" s="227">
        <v>44290</v>
      </c>
      <c r="F3808" s="156">
        <v>1079150.47</v>
      </c>
      <c r="G3808" s="131">
        <f t="shared" si="229"/>
        <v>193383.76422399998</v>
      </c>
      <c r="H3808" s="156">
        <v>41224</v>
      </c>
      <c r="I3808" s="156">
        <v>556503.38</v>
      </c>
      <c r="J3808" s="156">
        <v>0</v>
      </c>
      <c r="K3808" s="131">
        <f t="shared" si="230"/>
        <v>597727.38</v>
      </c>
      <c r="L3808" s="134">
        <v>0.1792</v>
      </c>
    </row>
    <row r="3809" spans="3:12">
      <c r="C3809" s="161">
        <f t="shared" si="228"/>
        <v>2021</v>
      </c>
      <c r="D3809" s="35" t="s">
        <v>316</v>
      </c>
      <c r="E3809" s="227">
        <v>44321</v>
      </c>
      <c r="F3809" s="156">
        <v>981310.98</v>
      </c>
      <c r="G3809" s="131">
        <f t="shared" si="229"/>
        <v>175850.927616</v>
      </c>
      <c r="H3809" s="156">
        <v>9025.2999999999993</v>
      </c>
      <c r="I3809" s="156">
        <v>558924.41</v>
      </c>
      <c r="J3809" s="156">
        <v>0</v>
      </c>
      <c r="K3809" s="131">
        <f t="shared" si="230"/>
        <v>567949.71000000008</v>
      </c>
      <c r="L3809" s="134">
        <v>0.1792</v>
      </c>
    </row>
    <row r="3810" spans="3:12">
      <c r="C3810" s="161">
        <f t="shared" si="228"/>
        <v>2021</v>
      </c>
      <c r="D3810" s="35" t="s">
        <v>316</v>
      </c>
      <c r="E3810" s="227">
        <v>44353</v>
      </c>
      <c r="F3810" s="156">
        <v>944053.27</v>
      </c>
      <c r="G3810" s="131">
        <f t="shared" si="229"/>
        <v>169174.34598400001</v>
      </c>
      <c r="H3810" s="156">
        <v>5703.64</v>
      </c>
      <c r="I3810" s="156">
        <v>492836.43</v>
      </c>
      <c r="J3810" s="156">
        <v>0</v>
      </c>
      <c r="K3810" s="131">
        <f t="shared" si="230"/>
        <v>498540.07</v>
      </c>
      <c r="L3810" s="134">
        <v>0.1792</v>
      </c>
    </row>
    <row r="3811" spans="3:12">
      <c r="C3811" s="161">
        <f t="shared" si="228"/>
        <v>2015</v>
      </c>
      <c r="D3811" s="35" t="s">
        <v>317</v>
      </c>
      <c r="E3811" s="227">
        <v>42309</v>
      </c>
      <c r="F3811" s="156">
        <v>104059.91</v>
      </c>
      <c r="G3811" s="131">
        <f t="shared" si="229"/>
        <v>18647.535872</v>
      </c>
      <c r="H3811" s="156">
        <v>59215.77</v>
      </c>
      <c r="I3811" s="156">
        <v>0</v>
      </c>
      <c r="J3811" s="156">
        <v>0</v>
      </c>
      <c r="K3811" s="131">
        <f t="shared" si="230"/>
        <v>59215.77</v>
      </c>
      <c r="L3811" s="134">
        <v>0.1792</v>
      </c>
    </row>
    <row r="3812" spans="3:12">
      <c r="C3812" s="161">
        <f t="shared" si="228"/>
        <v>2015</v>
      </c>
      <c r="D3812" s="35" t="s">
        <v>317</v>
      </c>
      <c r="E3812" s="227">
        <v>42339</v>
      </c>
      <c r="F3812" s="156">
        <v>103236.81</v>
      </c>
      <c r="G3812" s="131">
        <f t="shared" si="229"/>
        <v>18500.036351999999</v>
      </c>
      <c r="H3812" s="156">
        <v>38751.730000000003</v>
      </c>
      <c r="I3812" s="156">
        <v>0</v>
      </c>
      <c r="J3812" s="156">
        <v>0</v>
      </c>
      <c r="K3812" s="131">
        <f t="shared" si="230"/>
        <v>38751.730000000003</v>
      </c>
      <c r="L3812" s="134">
        <v>0.1792</v>
      </c>
    </row>
    <row r="3813" spans="3:12">
      <c r="C3813" s="161">
        <f t="shared" si="228"/>
        <v>2016</v>
      </c>
      <c r="D3813" s="35" t="s">
        <v>317</v>
      </c>
      <c r="E3813" s="227">
        <v>42370</v>
      </c>
      <c r="F3813" s="156">
        <v>107040.29</v>
      </c>
      <c r="G3813" s="131">
        <f t="shared" si="229"/>
        <v>19181.619967999999</v>
      </c>
      <c r="H3813" s="156">
        <v>38483.29</v>
      </c>
      <c r="I3813" s="156">
        <v>0</v>
      </c>
      <c r="J3813" s="156">
        <v>0</v>
      </c>
      <c r="K3813" s="131">
        <f t="shared" si="230"/>
        <v>38483.29</v>
      </c>
      <c r="L3813" s="134">
        <v>0.1792</v>
      </c>
    </row>
    <row r="3814" spans="3:12">
      <c r="C3814" s="161">
        <f t="shared" si="228"/>
        <v>2016</v>
      </c>
      <c r="D3814" s="35" t="s">
        <v>317</v>
      </c>
      <c r="E3814" s="227">
        <v>42401</v>
      </c>
      <c r="F3814" s="156">
        <v>97622.5</v>
      </c>
      <c r="G3814" s="131">
        <f t="shared" si="229"/>
        <v>17493.952000000001</v>
      </c>
      <c r="H3814" s="156">
        <v>163.56</v>
      </c>
      <c r="I3814" s="156">
        <v>0</v>
      </c>
      <c r="J3814" s="156">
        <v>0</v>
      </c>
      <c r="K3814" s="131">
        <f t="shared" si="230"/>
        <v>163.56</v>
      </c>
      <c r="L3814" s="134">
        <v>0.1792</v>
      </c>
    </row>
    <row r="3815" spans="3:12">
      <c r="C3815" s="161">
        <f t="shared" si="228"/>
        <v>2016</v>
      </c>
      <c r="D3815" s="35" t="s">
        <v>317</v>
      </c>
      <c r="E3815" s="227">
        <v>42430</v>
      </c>
      <c r="F3815" s="156">
        <v>90987.520000000004</v>
      </c>
      <c r="G3815" s="131">
        <f t="shared" si="229"/>
        <v>16304.963584000001</v>
      </c>
      <c r="H3815" s="156">
        <v>49970.43</v>
      </c>
      <c r="I3815" s="156">
        <v>0</v>
      </c>
      <c r="J3815" s="156">
        <v>0</v>
      </c>
      <c r="K3815" s="131">
        <f t="shared" si="230"/>
        <v>49970.43</v>
      </c>
      <c r="L3815" s="134">
        <v>0.1792</v>
      </c>
    </row>
    <row r="3816" spans="3:12">
      <c r="C3816" s="161">
        <f t="shared" si="228"/>
        <v>2016</v>
      </c>
      <c r="D3816" s="35" t="s">
        <v>317</v>
      </c>
      <c r="E3816" s="227">
        <v>42461</v>
      </c>
      <c r="F3816" s="156">
        <v>112016.83</v>
      </c>
      <c r="G3816" s="131">
        <f t="shared" si="229"/>
        <v>20073.415936000001</v>
      </c>
      <c r="H3816" s="156">
        <v>55922.06</v>
      </c>
      <c r="I3816" s="156">
        <v>0</v>
      </c>
      <c r="J3816" s="156">
        <v>0</v>
      </c>
      <c r="K3816" s="131">
        <f t="shared" si="230"/>
        <v>55922.06</v>
      </c>
      <c r="L3816" s="134">
        <v>0.1792</v>
      </c>
    </row>
    <row r="3817" spans="3:12">
      <c r="C3817" s="161">
        <f t="shared" si="228"/>
        <v>2016</v>
      </c>
      <c r="D3817" s="35" t="s">
        <v>317</v>
      </c>
      <c r="E3817" s="227">
        <v>42491</v>
      </c>
      <c r="F3817" s="156">
        <v>87470.13</v>
      </c>
      <c r="G3817" s="131">
        <f t="shared" si="229"/>
        <v>15674.647296000001</v>
      </c>
      <c r="H3817" s="156">
        <v>1246.97</v>
      </c>
      <c r="I3817" s="156">
        <v>0</v>
      </c>
      <c r="J3817" s="156">
        <v>269</v>
      </c>
      <c r="K3817" s="131">
        <f t="shared" si="230"/>
        <v>1515.97</v>
      </c>
      <c r="L3817" s="134">
        <v>0.1792</v>
      </c>
    </row>
    <row r="3818" spans="3:12">
      <c r="C3818" s="161">
        <f t="shared" si="228"/>
        <v>2016</v>
      </c>
      <c r="D3818" s="35" t="s">
        <v>317</v>
      </c>
      <c r="E3818" s="227">
        <v>42522</v>
      </c>
      <c r="F3818" s="156">
        <v>94323.44</v>
      </c>
      <c r="G3818" s="131">
        <f t="shared" si="229"/>
        <v>16902.760448000001</v>
      </c>
      <c r="H3818" s="156">
        <v>106189.86</v>
      </c>
      <c r="I3818" s="156">
        <v>0</v>
      </c>
      <c r="J3818" s="156">
        <v>1698</v>
      </c>
      <c r="K3818" s="131">
        <f t="shared" si="230"/>
        <v>107887.86</v>
      </c>
      <c r="L3818" s="134">
        <v>0.1792</v>
      </c>
    </row>
    <row r="3819" spans="3:12">
      <c r="C3819" s="161">
        <f t="shared" si="228"/>
        <v>2016</v>
      </c>
      <c r="D3819" s="35" t="s">
        <v>317</v>
      </c>
      <c r="E3819" s="227">
        <v>42552</v>
      </c>
      <c r="F3819" s="156">
        <v>111268.77</v>
      </c>
      <c r="G3819" s="131">
        <f t="shared" si="229"/>
        <v>19939.363583999999</v>
      </c>
      <c r="H3819" s="156">
        <v>16932.52</v>
      </c>
      <c r="I3819" s="156">
        <v>0</v>
      </c>
      <c r="J3819" s="156">
        <v>0</v>
      </c>
      <c r="K3819" s="131">
        <f t="shared" si="230"/>
        <v>16932.52</v>
      </c>
      <c r="L3819" s="134">
        <v>0.1792</v>
      </c>
    </row>
    <row r="3820" spans="3:12">
      <c r="C3820" s="161">
        <f t="shared" si="228"/>
        <v>2016</v>
      </c>
      <c r="D3820" s="35" t="s">
        <v>317</v>
      </c>
      <c r="E3820" s="227">
        <v>42583</v>
      </c>
      <c r="F3820" s="156">
        <v>113978.06</v>
      </c>
      <c r="G3820" s="131">
        <f t="shared" si="229"/>
        <v>20424.868351999998</v>
      </c>
      <c r="H3820" s="156">
        <v>364.78</v>
      </c>
      <c r="I3820" s="156">
        <v>0</v>
      </c>
      <c r="J3820" s="156">
        <v>3980</v>
      </c>
      <c r="K3820" s="131">
        <f t="shared" si="230"/>
        <v>4344.78</v>
      </c>
      <c r="L3820" s="134">
        <v>0.1792</v>
      </c>
    </row>
    <row r="3821" spans="3:12">
      <c r="C3821" s="161">
        <f t="shared" si="228"/>
        <v>2016</v>
      </c>
      <c r="D3821" s="35" t="s">
        <v>317</v>
      </c>
      <c r="E3821" s="227">
        <v>42614</v>
      </c>
      <c r="F3821" s="156">
        <v>113810.63</v>
      </c>
      <c r="G3821" s="131">
        <f t="shared" si="229"/>
        <v>20394.864895999999</v>
      </c>
      <c r="H3821" s="156">
        <v>227.94</v>
      </c>
      <c r="I3821" s="156">
        <v>0</v>
      </c>
      <c r="J3821" s="156">
        <v>0</v>
      </c>
      <c r="K3821" s="131">
        <f t="shared" si="230"/>
        <v>227.94</v>
      </c>
      <c r="L3821" s="134">
        <v>0.1792</v>
      </c>
    </row>
    <row r="3822" spans="3:12">
      <c r="C3822" s="161">
        <f t="shared" si="228"/>
        <v>2016</v>
      </c>
      <c r="D3822" s="35" t="s">
        <v>317</v>
      </c>
      <c r="E3822" s="227">
        <v>42644</v>
      </c>
      <c r="F3822" s="156">
        <v>114482.99</v>
      </c>
      <c r="G3822" s="131">
        <f t="shared" si="229"/>
        <v>20515.351807999999</v>
      </c>
      <c r="H3822" s="156">
        <v>655.85</v>
      </c>
      <c r="I3822" s="156">
        <v>0</v>
      </c>
      <c r="J3822" s="156">
        <v>695.66</v>
      </c>
      <c r="K3822" s="131">
        <f t="shared" si="230"/>
        <v>1351.51</v>
      </c>
      <c r="L3822" s="134">
        <v>0.1792</v>
      </c>
    </row>
    <row r="3823" spans="3:12">
      <c r="C3823" s="161">
        <f t="shared" si="228"/>
        <v>2016</v>
      </c>
      <c r="D3823" s="35" t="s">
        <v>317</v>
      </c>
      <c r="E3823" s="227">
        <v>42675</v>
      </c>
      <c r="F3823" s="156">
        <v>118065.65</v>
      </c>
      <c r="G3823" s="131">
        <f t="shared" si="229"/>
        <v>21157.36448</v>
      </c>
      <c r="H3823" s="156">
        <v>1682.38</v>
      </c>
      <c r="I3823" s="156">
        <v>0</v>
      </c>
      <c r="J3823" s="156">
        <v>1770.1</v>
      </c>
      <c r="K3823" s="131">
        <f t="shared" si="230"/>
        <v>3452.48</v>
      </c>
      <c r="L3823" s="134">
        <v>0.1792</v>
      </c>
    </row>
    <row r="3824" spans="3:12">
      <c r="C3824" s="161">
        <f t="shared" si="228"/>
        <v>2016</v>
      </c>
      <c r="D3824" s="35" t="s">
        <v>317</v>
      </c>
      <c r="E3824" s="227">
        <v>42705</v>
      </c>
      <c r="F3824" s="156">
        <v>110021.32</v>
      </c>
      <c r="G3824" s="131">
        <f t="shared" si="229"/>
        <v>19715.820544000002</v>
      </c>
      <c r="H3824" s="156">
        <v>550.86</v>
      </c>
      <c r="I3824" s="156">
        <v>0</v>
      </c>
      <c r="J3824" s="156">
        <v>0</v>
      </c>
      <c r="K3824" s="131">
        <f t="shared" si="230"/>
        <v>550.86</v>
      </c>
      <c r="L3824" s="134">
        <v>0.1792</v>
      </c>
    </row>
    <row r="3825" spans="3:12">
      <c r="C3825" s="161">
        <f t="shared" si="228"/>
        <v>2017</v>
      </c>
      <c r="D3825" s="35" t="s">
        <v>317</v>
      </c>
      <c r="E3825" s="227">
        <v>42736</v>
      </c>
      <c r="F3825" s="156">
        <v>120366.37</v>
      </c>
      <c r="G3825" s="131">
        <f t="shared" si="229"/>
        <v>21569.653503999998</v>
      </c>
      <c r="H3825" s="156">
        <v>141.88999999999999</v>
      </c>
      <c r="I3825" s="156">
        <v>0</v>
      </c>
      <c r="J3825" s="156">
        <v>0</v>
      </c>
      <c r="K3825" s="131">
        <f t="shared" si="230"/>
        <v>141.88999999999999</v>
      </c>
      <c r="L3825" s="134">
        <v>0.1792</v>
      </c>
    </row>
    <row r="3826" spans="3:12">
      <c r="C3826" s="161">
        <f t="shared" si="228"/>
        <v>2017</v>
      </c>
      <c r="D3826" s="35" t="s">
        <v>317</v>
      </c>
      <c r="E3826" s="227">
        <v>42767</v>
      </c>
      <c r="F3826" s="156">
        <v>104705.48</v>
      </c>
      <c r="G3826" s="131">
        <f t="shared" si="229"/>
        <v>18763.222016</v>
      </c>
      <c r="H3826" s="156">
        <v>505.09</v>
      </c>
      <c r="I3826" s="156">
        <v>0</v>
      </c>
      <c r="J3826" s="156">
        <v>0</v>
      </c>
      <c r="K3826" s="131">
        <f t="shared" si="230"/>
        <v>505.09</v>
      </c>
      <c r="L3826" s="134">
        <v>0.1792</v>
      </c>
    </row>
    <row r="3827" spans="3:12">
      <c r="C3827" s="161">
        <f t="shared" si="228"/>
        <v>2017</v>
      </c>
      <c r="D3827" s="35" t="s">
        <v>317</v>
      </c>
      <c r="E3827" s="227">
        <v>42795</v>
      </c>
      <c r="F3827" s="156">
        <v>97848.27</v>
      </c>
      <c r="G3827" s="131">
        <f t="shared" si="229"/>
        <v>17534.409984000002</v>
      </c>
      <c r="H3827" s="156">
        <v>313.55</v>
      </c>
      <c r="I3827" s="156">
        <v>0</v>
      </c>
      <c r="J3827" s="156">
        <v>0</v>
      </c>
      <c r="K3827" s="131">
        <f t="shared" si="230"/>
        <v>313.55</v>
      </c>
      <c r="L3827" s="134">
        <v>0.1792</v>
      </c>
    </row>
    <row r="3828" spans="3:12">
      <c r="C3828" s="161">
        <f t="shared" si="228"/>
        <v>2017</v>
      </c>
      <c r="D3828" s="35" t="s">
        <v>317</v>
      </c>
      <c r="E3828" s="227">
        <v>42826</v>
      </c>
      <c r="F3828" s="156">
        <v>105843.94</v>
      </c>
      <c r="G3828" s="131">
        <f t="shared" si="229"/>
        <v>18967.234047999998</v>
      </c>
      <c r="H3828" s="156">
        <v>772.91</v>
      </c>
      <c r="I3828" s="156">
        <v>0</v>
      </c>
      <c r="J3828" s="156">
        <v>0</v>
      </c>
      <c r="K3828" s="131">
        <f t="shared" si="230"/>
        <v>772.91</v>
      </c>
      <c r="L3828" s="134">
        <v>0.1792</v>
      </c>
    </row>
    <row r="3829" spans="3:12">
      <c r="C3829" s="161">
        <f t="shared" si="228"/>
        <v>2017</v>
      </c>
      <c r="D3829" s="35" t="s">
        <v>317</v>
      </c>
      <c r="E3829" s="227">
        <v>42856</v>
      </c>
      <c r="F3829" s="156">
        <v>95343.27</v>
      </c>
      <c r="G3829" s="131">
        <f t="shared" si="229"/>
        <v>17085.513984000001</v>
      </c>
      <c r="H3829" s="156">
        <v>470.36</v>
      </c>
      <c r="I3829" s="156">
        <v>0</v>
      </c>
      <c r="J3829" s="156">
        <v>0</v>
      </c>
      <c r="K3829" s="131">
        <f t="shared" si="230"/>
        <v>470.36</v>
      </c>
      <c r="L3829" s="134">
        <v>0.1792</v>
      </c>
    </row>
    <row r="3830" spans="3:12">
      <c r="C3830" s="161">
        <f t="shared" si="228"/>
        <v>2017</v>
      </c>
      <c r="D3830" s="35" t="s">
        <v>317</v>
      </c>
      <c r="E3830" s="227">
        <v>42887</v>
      </c>
      <c r="F3830" s="156">
        <v>100609.09</v>
      </c>
      <c r="G3830" s="131">
        <f t="shared" si="229"/>
        <v>18029.148927999999</v>
      </c>
      <c r="H3830" s="156">
        <v>188.14</v>
      </c>
      <c r="I3830" s="156">
        <v>0</v>
      </c>
      <c r="J3830" s="156">
        <v>0</v>
      </c>
      <c r="K3830" s="131">
        <f t="shared" si="230"/>
        <v>188.14</v>
      </c>
      <c r="L3830" s="134">
        <v>0.1792</v>
      </c>
    </row>
    <row r="3831" spans="3:12">
      <c r="C3831" s="161">
        <f t="shared" si="228"/>
        <v>2017</v>
      </c>
      <c r="D3831" s="35" t="s">
        <v>317</v>
      </c>
      <c r="E3831" s="227">
        <v>42917</v>
      </c>
      <c r="F3831" s="156">
        <v>101134.2</v>
      </c>
      <c r="G3831" s="131">
        <f t="shared" si="229"/>
        <v>18123.248639999998</v>
      </c>
      <c r="H3831" s="156">
        <v>423.32</v>
      </c>
      <c r="I3831" s="156">
        <v>0</v>
      </c>
      <c r="J3831" s="156">
        <v>0</v>
      </c>
      <c r="K3831" s="131">
        <f t="shared" si="230"/>
        <v>423.32</v>
      </c>
      <c r="L3831" s="134">
        <v>0.1792</v>
      </c>
    </row>
    <row r="3832" spans="3:12">
      <c r="C3832" s="161">
        <f t="shared" si="228"/>
        <v>2017</v>
      </c>
      <c r="D3832" s="35" t="s">
        <v>317</v>
      </c>
      <c r="E3832" s="227">
        <v>42948</v>
      </c>
      <c r="F3832" s="156">
        <v>117301.22</v>
      </c>
      <c r="G3832" s="131">
        <f t="shared" si="229"/>
        <v>21020.378624000001</v>
      </c>
      <c r="H3832" s="156">
        <v>276</v>
      </c>
      <c r="I3832" s="156">
        <v>0</v>
      </c>
      <c r="J3832" s="156">
        <v>0</v>
      </c>
      <c r="K3832" s="131">
        <f t="shared" si="230"/>
        <v>276</v>
      </c>
      <c r="L3832" s="134">
        <v>0.1792</v>
      </c>
    </row>
    <row r="3833" spans="3:12">
      <c r="C3833" s="161">
        <f t="shared" si="228"/>
        <v>2017</v>
      </c>
      <c r="D3833" s="35" t="s">
        <v>317</v>
      </c>
      <c r="E3833" s="227">
        <v>42979</v>
      </c>
      <c r="F3833" s="156">
        <v>114209.8</v>
      </c>
      <c r="G3833" s="131">
        <f t="shared" si="229"/>
        <v>20466.39616</v>
      </c>
      <c r="H3833" s="156">
        <v>116.95</v>
      </c>
      <c r="I3833" s="156">
        <v>0</v>
      </c>
      <c r="J3833" s="156">
        <v>0</v>
      </c>
      <c r="K3833" s="131">
        <f t="shared" si="230"/>
        <v>116.95</v>
      </c>
      <c r="L3833" s="134">
        <v>0.1792</v>
      </c>
    </row>
    <row r="3834" spans="3:12">
      <c r="C3834" s="161">
        <f t="shared" si="228"/>
        <v>2017</v>
      </c>
      <c r="D3834" s="35" t="s">
        <v>317</v>
      </c>
      <c r="E3834" s="227">
        <v>43009</v>
      </c>
      <c r="F3834" s="156">
        <v>110416.98</v>
      </c>
      <c r="G3834" s="131">
        <f t="shared" si="229"/>
        <v>19786.722815999998</v>
      </c>
      <c r="H3834" s="156">
        <v>58.15</v>
      </c>
      <c r="I3834" s="156">
        <v>0</v>
      </c>
      <c r="J3834" s="156">
        <v>0</v>
      </c>
      <c r="K3834" s="131">
        <f t="shared" si="230"/>
        <v>58.15</v>
      </c>
      <c r="L3834" s="134">
        <v>0.1792</v>
      </c>
    </row>
    <row r="3835" spans="3:12">
      <c r="C3835" s="161">
        <f t="shared" si="228"/>
        <v>2017</v>
      </c>
      <c r="D3835" s="35" t="s">
        <v>317</v>
      </c>
      <c r="E3835" s="227">
        <v>43040</v>
      </c>
      <c r="F3835" s="156">
        <v>107341.42</v>
      </c>
      <c r="G3835" s="131">
        <f t="shared" si="229"/>
        <v>19235.582463999999</v>
      </c>
      <c r="H3835" s="156">
        <v>1201.8699999999999</v>
      </c>
      <c r="I3835" s="156">
        <v>0</v>
      </c>
      <c r="J3835" s="156">
        <v>0</v>
      </c>
      <c r="K3835" s="131">
        <f t="shared" si="230"/>
        <v>1201.8699999999999</v>
      </c>
      <c r="L3835" s="134">
        <v>0.1792</v>
      </c>
    </row>
    <row r="3836" spans="3:12">
      <c r="C3836" s="161">
        <f t="shared" si="228"/>
        <v>2017</v>
      </c>
      <c r="D3836" s="35" t="s">
        <v>317</v>
      </c>
      <c r="E3836" s="227">
        <v>43070</v>
      </c>
      <c r="F3836" s="156">
        <v>105526.72</v>
      </c>
      <c r="G3836" s="131">
        <f t="shared" si="229"/>
        <v>18910.388223999998</v>
      </c>
      <c r="H3836" s="156">
        <v>1462.34</v>
      </c>
      <c r="I3836" s="156">
        <v>0</v>
      </c>
      <c r="J3836" s="156">
        <v>0</v>
      </c>
      <c r="K3836" s="131">
        <f t="shared" si="230"/>
        <v>1462.34</v>
      </c>
      <c r="L3836" s="134">
        <v>0.1792</v>
      </c>
    </row>
    <row r="3837" spans="3:12">
      <c r="C3837" s="161">
        <f t="shared" si="228"/>
        <v>2018</v>
      </c>
      <c r="D3837" s="35" t="s">
        <v>317</v>
      </c>
      <c r="E3837" s="227">
        <v>43101</v>
      </c>
      <c r="F3837" s="156">
        <v>104359.15</v>
      </c>
      <c r="G3837" s="131">
        <f t="shared" si="229"/>
        <v>18701.159679999997</v>
      </c>
      <c r="H3837" s="156">
        <v>178.56</v>
      </c>
      <c r="I3837" s="156">
        <v>0</v>
      </c>
      <c r="J3837" s="156">
        <v>0</v>
      </c>
      <c r="K3837" s="131">
        <f t="shared" si="230"/>
        <v>178.56</v>
      </c>
      <c r="L3837" s="134">
        <v>0.1792</v>
      </c>
    </row>
    <row r="3838" spans="3:12">
      <c r="C3838" s="161">
        <f t="shared" si="228"/>
        <v>2018</v>
      </c>
      <c r="D3838" s="35" t="s">
        <v>317</v>
      </c>
      <c r="E3838" s="227">
        <v>43132</v>
      </c>
      <c r="F3838" s="156">
        <v>105563.21</v>
      </c>
      <c r="G3838" s="131">
        <f t="shared" si="229"/>
        <v>18916.927232000002</v>
      </c>
      <c r="H3838" s="156">
        <v>969.15</v>
      </c>
      <c r="I3838" s="156">
        <v>0</v>
      </c>
      <c r="J3838" s="156">
        <v>0</v>
      </c>
      <c r="K3838" s="131">
        <f t="shared" si="230"/>
        <v>969.15</v>
      </c>
      <c r="L3838" s="134">
        <v>0.1792</v>
      </c>
    </row>
    <row r="3839" spans="3:12">
      <c r="C3839" s="161">
        <f t="shared" si="228"/>
        <v>2018</v>
      </c>
      <c r="D3839" s="35" t="s">
        <v>317</v>
      </c>
      <c r="E3839" s="227">
        <v>43160</v>
      </c>
      <c r="F3839" s="156">
        <v>98096.94</v>
      </c>
      <c r="G3839" s="131">
        <f t="shared" si="229"/>
        <v>17578.971647999999</v>
      </c>
      <c r="H3839" s="156">
        <v>813.09</v>
      </c>
      <c r="I3839" s="156">
        <v>0</v>
      </c>
      <c r="J3839" s="156">
        <v>0</v>
      </c>
      <c r="K3839" s="131">
        <f t="shared" si="230"/>
        <v>813.09</v>
      </c>
      <c r="L3839" s="134">
        <v>0.1792</v>
      </c>
    </row>
    <row r="3840" spans="3:12">
      <c r="C3840" s="161">
        <f t="shared" si="228"/>
        <v>2018</v>
      </c>
      <c r="D3840" s="35" t="s">
        <v>317</v>
      </c>
      <c r="E3840" s="227">
        <v>43191</v>
      </c>
      <c r="F3840" s="156">
        <v>105264.02</v>
      </c>
      <c r="G3840" s="131">
        <f t="shared" si="229"/>
        <v>18863.312384000001</v>
      </c>
      <c r="H3840" s="156">
        <v>57928.57</v>
      </c>
      <c r="I3840" s="156">
        <v>0</v>
      </c>
      <c r="J3840" s="156">
        <v>0</v>
      </c>
      <c r="K3840" s="131">
        <f t="shared" si="230"/>
        <v>57928.57</v>
      </c>
      <c r="L3840" s="134">
        <v>0.1792</v>
      </c>
    </row>
    <row r="3841" spans="3:12">
      <c r="C3841" s="161">
        <f t="shared" si="228"/>
        <v>2018</v>
      </c>
      <c r="D3841" s="35" t="s">
        <v>317</v>
      </c>
      <c r="E3841" s="227">
        <v>43221</v>
      </c>
      <c r="F3841" s="156">
        <v>102810.38</v>
      </c>
      <c r="G3841" s="131">
        <f t="shared" si="229"/>
        <v>18423.620096000002</v>
      </c>
      <c r="H3841" s="156">
        <v>47272.12</v>
      </c>
      <c r="I3841" s="156">
        <v>0</v>
      </c>
      <c r="J3841" s="156">
        <v>0</v>
      </c>
      <c r="K3841" s="131">
        <f t="shared" si="230"/>
        <v>47272.12</v>
      </c>
      <c r="L3841" s="134">
        <v>0.1792</v>
      </c>
    </row>
    <row r="3842" spans="3:12">
      <c r="C3842" s="161">
        <f t="shared" si="228"/>
        <v>2018</v>
      </c>
      <c r="D3842" s="35" t="s">
        <v>317</v>
      </c>
      <c r="E3842" s="227">
        <v>43252</v>
      </c>
      <c r="F3842" s="156">
        <v>97643.520000000004</v>
      </c>
      <c r="G3842" s="131">
        <f t="shared" si="229"/>
        <v>17497.718784000001</v>
      </c>
      <c r="H3842" s="156">
        <v>58891.040000000001</v>
      </c>
      <c r="I3842" s="156">
        <v>0</v>
      </c>
      <c r="J3842" s="156">
        <v>0</v>
      </c>
      <c r="K3842" s="131">
        <f t="shared" si="230"/>
        <v>58891.040000000001</v>
      </c>
      <c r="L3842" s="134">
        <v>0.1792</v>
      </c>
    </row>
    <row r="3843" spans="3:12">
      <c r="C3843" s="161">
        <f t="shared" si="228"/>
        <v>2018</v>
      </c>
      <c r="D3843" s="35" t="s">
        <v>317</v>
      </c>
      <c r="E3843" s="227">
        <v>43282</v>
      </c>
      <c r="F3843" s="156">
        <v>108780.06</v>
      </c>
      <c r="G3843" s="131">
        <f t="shared" si="229"/>
        <v>19493.386751999999</v>
      </c>
      <c r="H3843" s="156">
        <v>574.97</v>
      </c>
      <c r="I3843" s="156">
        <v>0</v>
      </c>
      <c r="J3843" s="156">
        <v>0</v>
      </c>
      <c r="K3843" s="131">
        <f t="shared" si="230"/>
        <v>574.97</v>
      </c>
      <c r="L3843" s="134">
        <v>0.1792</v>
      </c>
    </row>
    <row r="3844" spans="3:12">
      <c r="C3844" s="161">
        <f t="shared" ref="C3844:C3907" si="231">YEAR(E3844)</f>
        <v>2018</v>
      </c>
      <c r="D3844" s="35" t="s">
        <v>317</v>
      </c>
      <c r="E3844" s="227">
        <v>43313</v>
      </c>
      <c r="F3844" s="156">
        <v>109240.47</v>
      </c>
      <c r="G3844" s="131">
        <f t="shared" ref="G3844:G3907" si="232">F3844*L3844</f>
        <v>19575.892223999999</v>
      </c>
      <c r="H3844" s="156">
        <v>4608.25</v>
      </c>
      <c r="I3844" s="156">
        <v>0</v>
      </c>
      <c r="J3844" s="156">
        <v>0</v>
      </c>
      <c r="K3844" s="131">
        <f t="shared" ref="K3844:K3907" si="233">SUM(H3844:J3844)</f>
        <v>4608.25</v>
      </c>
      <c r="L3844" s="134">
        <v>0.1792</v>
      </c>
    </row>
    <row r="3845" spans="3:12">
      <c r="C3845" s="161">
        <f t="shared" si="231"/>
        <v>2018</v>
      </c>
      <c r="D3845" s="35" t="s">
        <v>317</v>
      </c>
      <c r="E3845" s="227">
        <v>43344</v>
      </c>
      <c r="F3845" s="156">
        <v>113938.59</v>
      </c>
      <c r="G3845" s="131">
        <f t="shared" si="232"/>
        <v>20417.795328</v>
      </c>
      <c r="H3845" s="156">
        <v>679.46</v>
      </c>
      <c r="I3845" s="156">
        <v>0</v>
      </c>
      <c r="J3845" s="156">
        <v>0</v>
      </c>
      <c r="K3845" s="131">
        <f t="shared" si="233"/>
        <v>679.46</v>
      </c>
      <c r="L3845" s="134">
        <v>0.1792</v>
      </c>
    </row>
    <row r="3846" spans="3:12">
      <c r="C3846" s="161">
        <f t="shared" si="231"/>
        <v>2018</v>
      </c>
      <c r="D3846" s="35" t="s">
        <v>317</v>
      </c>
      <c r="E3846" s="227">
        <v>43374</v>
      </c>
      <c r="F3846" s="156">
        <v>111757.73</v>
      </c>
      <c r="G3846" s="131">
        <f t="shared" si="232"/>
        <v>20026.985215999997</v>
      </c>
      <c r="H3846" s="156">
        <v>237.88</v>
      </c>
      <c r="I3846" s="156">
        <v>0</v>
      </c>
      <c r="J3846" s="156">
        <v>0</v>
      </c>
      <c r="K3846" s="131">
        <f t="shared" si="233"/>
        <v>237.88</v>
      </c>
      <c r="L3846" s="134">
        <v>0.1792</v>
      </c>
    </row>
    <row r="3847" spans="3:12">
      <c r="C3847" s="161">
        <f t="shared" si="231"/>
        <v>2018</v>
      </c>
      <c r="D3847" s="35" t="s">
        <v>317</v>
      </c>
      <c r="E3847" s="227">
        <v>43405</v>
      </c>
      <c r="F3847" s="156">
        <v>113990.74830000001</v>
      </c>
      <c r="G3847" s="131">
        <f t="shared" si="232"/>
        <v>20427.142095360003</v>
      </c>
      <c r="H3847" s="156">
        <v>0</v>
      </c>
      <c r="I3847" s="156">
        <v>0</v>
      </c>
      <c r="J3847" s="156">
        <v>0</v>
      </c>
      <c r="K3847" s="131">
        <f t="shared" si="233"/>
        <v>0</v>
      </c>
      <c r="L3847" s="134">
        <v>0.1792</v>
      </c>
    </row>
    <row r="3848" spans="3:12">
      <c r="C3848" s="161">
        <f t="shared" si="231"/>
        <v>2018</v>
      </c>
      <c r="D3848" s="35" t="s">
        <v>317</v>
      </c>
      <c r="E3848" s="227">
        <v>43435</v>
      </c>
      <c r="F3848" s="156">
        <v>111718.76</v>
      </c>
      <c r="G3848" s="131">
        <f t="shared" si="232"/>
        <v>20020.001791999999</v>
      </c>
      <c r="H3848" s="156">
        <v>320.58</v>
      </c>
      <c r="I3848" s="156" t="s">
        <v>267</v>
      </c>
      <c r="J3848" s="156" t="s">
        <v>267</v>
      </c>
      <c r="K3848" s="131">
        <f t="shared" si="233"/>
        <v>320.58</v>
      </c>
      <c r="L3848" s="134">
        <v>0.1792</v>
      </c>
    </row>
    <row r="3849" spans="3:12">
      <c r="C3849" s="161">
        <f t="shared" si="231"/>
        <v>2019</v>
      </c>
      <c r="D3849" s="35" t="s">
        <v>317</v>
      </c>
      <c r="E3849" s="227">
        <v>43466</v>
      </c>
      <c r="F3849" s="156">
        <v>112621.31</v>
      </c>
      <c r="G3849" s="131">
        <f t="shared" si="232"/>
        <v>20181.738752000001</v>
      </c>
      <c r="H3849" s="156">
        <v>5780.04</v>
      </c>
      <c r="I3849" s="156">
        <v>0</v>
      </c>
      <c r="J3849" s="156">
        <v>0</v>
      </c>
      <c r="K3849" s="131">
        <f t="shared" si="233"/>
        <v>5780.04</v>
      </c>
      <c r="L3849" s="134">
        <v>0.1792</v>
      </c>
    </row>
    <row r="3850" spans="3:12">
      <c r="C3850" s="161">
        <f t="shared" si="231"/>
        <v>2019</v>
      </c>
      <c r="D3850" s="35" t="s">
        <v>317</v>
      </c>
      <c r="E3850" s="227">
        <v>43497</v>
      </c>
      <c r="F3850" s="156">
        <v>106354.71</v>
      </c>
      <c r="G3850" s="131">
        <f t="shared" si="232"/>
        <v>19058.764032000003</v>
      </c>
      <c r="H3850" s="156">
        <v>32.85</v>
      </c>
      <c r="I3850" s="156">
        <v>0</v>
      </c>
      <c r="J3850" s="156">
        <v>0</v>
      </c>
      <c r="K3850" s="131">
        <f t="shared" si="233"/>
        <v>32.85</v>
      </c>
      <c r="L3850" s="134">
        <v>0.1792</v>
      </c>
    </row>
    <row r="3851" spans="3:12">
      <c r="C3851" s="161">
        <f t="shared" si="231"/>
        <v>2019</v>
      </c>
      <c r="D3851" s="35" t="s">
        <v>317</v>
      </c>
      <c r="E3851" s="227">
        <v>43525</v>
      </c>
      <c r="F3851" s="156">
        <v>99552.62</v>
      </c>
      <c r="G3851" s="131">
        <f t="shared" si="232"/>
        <v>17839.829503999998</v>
      </c>
      <c r="H3851" s="156">
        <v>0</v>
      </c>
      <c r="I3851" s="156">
        <v>0</v>
      </c>
      <c r="J3851" s="156">
        <v>0</v>
      </c>
      <c r="K3851" s="131">
        <f t="shared" si="233"/>
        <v>0</v>
      </c>
      <c r="L3851" s="134">
        <v>0.1792</v>
      </c>
    </row>
    <row r="3852" spans="3:12">
      <c r="C3852" s="161">
        <f t="shared" si="231"/>
        <v>2019</v>
      </c>
      <c r="D3852" s="35" t="s">
        <v>317</v>
      </c>
      <c r="E3852" s="227">
        <v>43556</v>
      </c>
      <c r="F3852" s="156">
        <v>105897.8</v>
      </c>
      <c r="G3852" s="131">
        <f t="shared" si="232"/>
        <v>18976.885760000001</v>
      </c>
      <c r="H3852" s="156">
        <v>302.13</v>
      </c>
      <c r="I3852" s="156">
        <v>0</v>
      </c>
      <c r="J3852" s="156">
        <v>17300.23</v>
      </c>
      <c r="K3852" s="131">
        <f t="shared" si="233"/>
        <v>17602.36</v>
      </c>
      <c r="L3852" s="134">
        <v>0.1792</v>
      </c>
    </row>
    <row r="3853" spans="3:12">
      <c r="C3853" s="161">
        <f t="shared" si="231"/>
        <v>2019</v>
      </c>
      <c r="D3853" s="35" t="s">
        <v>317</v>
      </c>
      <c r="E3853" s="227">
        <v>43586</v>
      </c>
      <c r="F3853" s="156">
        <v>107184.4</v>
      </c>
      <c r="G3853" s="131">
        <f t="shared" si="232"/>
        <v>19207.444479999998</v>
      </c>
      <c r="H3853" s="156">
        <v>645.1</v>
      </c>
      <c r="I3853" s="156">
        <v>0</v>
      </c>
      <c r="J3853" s="156">
        <v>0</v>
      </c>
      <c r="K3853" s="131">
        <f t="shared" si="233"/>
        <v>645.1</v>
      </c>
      <c r="L3853" s="134">
        <v>0.1792</v>
      </c>
    </row>
    <row r="3854" spans="3:12">
      <c r="C3854" s="161">
        <f t="shared" si="231"/>
        <v>2019</v>
      </c>
      <c r="D3854" s="35" t="s">
        <v>317</v>
      </c>
      <c r="E3854" s="227">
        <v>43617</v>
      </c>
      <c r="F3854" s="156">
        <v>111368.61</v>
      </c>
      <c r="G3854" s="131">
        <f t="shared" si="232"/>
        <v>19957.254912</v>
      </c>
      <c r="H3854" s="156">
        <v>151.77000000000001</v>
      </c>
      <c r="I3854" s="156">
        <v>0</v>
      </c>
      <c r="J3854" s="156">
        <v>0</v>
      </c>
      <c r="K3854" s="131">
        <f t="shared" si="233"/>
        <v>151.77000000000001</v>
      </c>
      <c r="L3854" s="134">
        <v>0.1792</v>
      </c>
    </row>
    <row r="3855" spans="3:12">
      <c r="C3855" s="161">
        <f t="shared" si="231"/>
        <v>2019</v>
      </c>
      <c r="D3855" s="35" t="s">
        <v>317</v>
      </c>
      <c r="E3855" s="227">
        <v>43647</v>
      </c>
      <c r="F3855" s="156">
        <v>108053.9</v>
      </c>
      <c r="G3855" s="131">
        <f t="shared" si="232"/>
        <v>19363.258879999998</v>
      </c>
      <c r="H3855" s="156">
        <v>4737.41</v>
      </c>
      <c r="I3855" s="156">
        <v>0</v>
      </c>
      <c r="J3855" s="156">
        <v>0</v>
      </c>
      <c r="K3855" s="131">
        <f t="shared" si="233"/>
        <v>4737.41</v>
      </c>
      <c r="L3855" s="134">
        <v>0.1792</v>
      </c>
    </row>
    <row r="3856" spans="3:12">
      <c r="C3856" s="161">
        <f t="shared" si="231"/>
        <v>2019</v>
      </c>
      <c r="D3856" s="35" t="s">
        <v>317</v>
      </c>
      <c r="E3856" s="227">
        <v>43678</v>
      </c>
      <c r="F3856" s="156">
        <v>121001.68</v>
      </c>
      <c r="G3856" s="131">
        <f t="shared" si="232"/>
        <v>21683.501055999997</v>
      </c>
      <c r="H3856" s="156">
        <v>65.150000000000006</v>
      </c>
      <c r="I3856" s="156">
        <v>0</v>
      </c>
      <c r="J3856" s="156">
        <v>0</v>
      </c>
      <c r="K3856" s="131">
        <f t="shared" si="233"/>
        <v>65.150000000000006</v>
      </c>
      <c r="L3856" s="134">
        <v>0.1792</v>
      </c>
    </row>
    <row r="3857" spans="3:12">
      <c r="C3857" s="161">
        <f t="shared" si="231"/>
        <v>2019</v>
      </c>
      <c r="D3857" s="35" t="s">
        <v>317</v>
      </c>
      <c r="E3857" s="227">
        <v>43709</v>
      </c>
      <c r="F3857" s="156">
        <v>135617.76</v>
      </c>
      <c r="G3857" s="131">
        <f t="shared" si="232"/>
        <v>24302.702592000001</v>
      </c>
      <c r="H3857" s="156">
        <v>615.64</v>
      </c>
      <c r="I3857" s="156">
        <v>0</v>
      </c>
      <c r="J3857" s="156">
        <v>0</v>
      </c>
      <c r="K3857" s="131">
        <f t="shared" si="233"/>
        <v>615.64</v>
      </c>
      <c r="L3857" s="134">
        <v>0.1792</v>
      </c>
    </row>
    <row r="3858" spans="3:12">
      <c r="C3858" s="161">
        <f t="shared" si="231"/>
        <v>2019</v>
      </c>
      <c r="D3858" s="35" t="s">
        <v>317</v>
      </c>
      <c r="E3858" s="227">
        <v>43739</v>
      </c>
      <c r="F3858" s="156">
        <v>117010.44</v>
      </c>
      <c r="G3858" s="131">
        <f t="shared" si="232"/>
        <v>20968.270848</v>
      </c>
      <c r="H3858" s="156">
        <v>898.11</v>
      </c>
      <c r="I3858" s="156">
        <v>0</v>
      </c>
      <c r="J3858" s="156">
        <v>0</v>
      </c>
      <c r="K3858" s="131">
        <f t="shared" si="233"/>
        <v>898.11</v>
      </c>
      <c r="L3858" s="134">
        <v>0.1792</v>
      </c>
    </row>
    <row r="3859" spans="3:12">
      <c r="C3859" s="161">
        <f t="shared" si="231"/>
        <v>2019</v>
      </c>
      <c r="D3859" s="35" t="s">
        <v>317</v>
      </c>
      <c r="E3859" s="227">
        <v>43770</v>
      </c>
      <c r="F3859" s="156">
        <v>125166.8</v>
      </c>
      <c r="G3859" s="131">
        <f t="shared" si="232"/>
        <v>22429.89056</v>
      </c>
      <c r="H3859" s="156">
        <v>28147.73</v>
      </c>
      <c r="I3859" s="156">
        <v>1167.53</v>
      </c>
      <c r="J3859" s="156">
        <v>0</v>
      </c>
      <c r="K3859" s="131">
        <f t="shared" si="233"/>
        <v>29315.26</v>
      </c>
      <c r="L3859" s="134">
        <v>0.1792</v>
      </c>
    </row>
    <row r="3860" spans="3:12">
      <c r="C3860" s="161">
        <f t="shared" si="231"/>
        <v>2019</v>
      </c>
      <c r="D3860" s="35" t="s">
        <v>317</v>
      </c>
      <c r="E3860" s="227">
        <v>43800</v>
      </c>
      <c r="F3860" s="156">
        <v>122959.82</v>
      </c>
      <c r="G3860" s="131">
        <f t="shared" si="232"/>
        <v>22034.399744000002</v>
      </c>
      <c r="H3860" s="156">
        <v>613.67999999999995</v>
      </c>
      <c r="I3860" s="156">
        <v>0</v>
      </c>
      <c r="J3860" s="156">
        <v>0</v>
      </c>
      <c r="K3860" s="131">
        <f t="shared" si="233"/>
        <v>613.67999999999995</v>
      </c>
      <c r="L3860" s="134">
        <v>0.1792</v>
      </c>
    </row>
    <row r="3861" spans="3:12">
      <c r="C3861" s="161">
        <f t="shared" si="231"/>
        <v>2020</v>
      </c>
      <c r="D3861" s="35" t="s">
        <v>317</v>
      </c>
      <c r="E3861" s="227">
        <v>43831</v>
      </c>
      <c r="F3861" s="156">
        <v>111957.69</v>
      </c>
      <c r="G3861" s="131">
        <f t="shared" si="232"/>
        <v>20062.818048000001</v>
      </c>
      <c r="H3861" s="156">
        <v>813.25</v>
      </c>
      <c r="I3861" s="156">
        <v>0</v>
      </c>
      <c r="J3861" s="156">
        <v>0</v>
      </c>
      <c r="K3861" s="131">
        <f t="shared" si="233"/>
        <v>813.25</v>
      </c>
      <c r="L3861" s="134">
        <v>0.1792</v>
      </c>
    </row>
    <row r="3862" spans="3:12">
      <c r="C3862" s="161">
        <f t="shared" si="231"/>
        <v>2020</v>
      </c>
      <c r="D3862" s="35" t="s">
        <v>317</v>
      </c>
      <c r="E3862" s="227">
        <v>43862</v>
      </c>
      <c r="F3862" s="156">
        <v>110537.09</v>
      </c>
      <c r="G3862" s="131">
        <f t="shared" si="232"/>
        <v>19808.246528</v>
      </c>
      <c r="H3862" s="156">
        <v>357.24</v>
      </c>
      <c r="I3862" s="156">
        <v>0</v>
      </c>
      <c r="J3862" s="156">
        <v>0</v>
      </c>
      <c r="K3862" s="131">
        <f t="shared" si="233"/>
        <v>357.24</v>
      </c>
      <c r="L3862" s="134">
        <v>0.1792</v>
      </c>
    </row>
    <row r="3863" spans="3:12">
      <c r="C3863" s="161">
        <f t="shared" si="231"/>
        <v>2020</v>
      </c>
      <c r="D3863" s="35" t="s">
        <v>317</v>
      </c>
      <c r="E3863" s="227">
        <v>43891</v>
      </c>
      <c r="F3863" s="156">
        <v>105388.53765</v>
      </c>
      <c r="G3863" s="131">
        <f t="shared" si="232"/>
        <v>18885.625946879998</v>
      </c>
      <c r="H3863" s="156">
        <v>1448.67</v>
      </c>
      <c r="I3863" s="156">
        <v>0</v>
      </c>
      <c r="J3863" s="156">
        <v>0</v>
      </c>
      <c r="K3863" s="131">
        <f t="shared" si="233"/>
        <v>1448.67</v>
      </c>
      <c r="L3863" s="134">
        <v>0.1792</v>
      </c>
    </row>
    <row r="3864" spans="3:12">
      <c r="C3864" s="161">
        <f t="shared" si="231"/>
        <v>2020</v>
      </c>
      <c r="D3864" s="35" t="s">
        <v>317</v>
      </c>
      <c r="E3864" s="227">
        <v>43922</v>
      </c>
      <c r="F3864" s="156">
        <v>117782.57369999999</v>
      </c>
      <c r="G3864" s="131">
        <f t="shared" si="232"/>
        <v>21106.637207039999</v>
      </c>
      <c r="H3864" s="156">
        <v>1518</v>
      </c>
      <c r="I3864" s="156">
        <v>0</v>
      </c>
      <c r="J3864" s="156">
        <v>0</v>
      </c>
      <c r="K3864" s="131">
        <f t="shared" si="233"/>
        <v>1518</v>
      </c>
      <c r="L3864" s="134">
        <v>0.1792</v>
      </c>
    </row>
    <row r="3865" spans="3:12">
      <c r="C3865" s="161">
        <f t="shared" si="231"/>
        <v>2020</v>
      </c>
      <c r="D3865" s="35" t="s">
        <v>317</v>
      </c>
      <c r="E3865" s="227">
        <v>43952</v>
      </c>
      <c r="F3865" s="156">
        <v>108615.06</v>
      </c>
      <c r="G3865" s="131">
        <f t="shared" si="232"/>
        <v>19463.818751999999</v>
      </c>
      <c r="H3865" s="156">
        <v>1370.45</v>
      </c>
      <c r="I3865" s="156">
        <v>0</v>
      </c>
      <c r="J3865" s="156">
        <v>0</v>
      </c>
      <c r="K3865" s="131">
        <f t="shared" si="233"/>
        <v>1370.45</v>
      </c>
      <c r="L3865" s="134">
        <v>0.1792</v>
      </c>
    </row>
    <row r="3866" spans="3:12">
      <c r="C3866" s="161">
        <f t="shared" si="231"/>
        <v>2020</v>
      </c>
      <c r="D3866" s="35" t="s">
        <v>317</v>
      </c>
      <c r="E3866" s="227">
        <v>43983</v>
      </c>
      <c r="F3866" s="156">
        <v>104105.65</v>
      </c>
      <c r="G3866" s="131">
        <f t="shared" si="232"/>
        <v>18655.732479999999</v>
      </c>
      <c r="H3866" s="156">
        <v>322.07</v>
      </c>
      <c r="I3866" s="156">
        <v>0</v>
      </c>
      <c r="J3866" s="156">
        <v>0</v>
      </c>
      <c r="K3866" s="131">
        <f t="shared" si="233"/>
        <v>322.07</v>
      </c>
      <c r="L3866" s="134">
        <v>0.1792</v>
      </c>
    </row>
    <row r="3867" spans="3:12">
      <c r="C3867" s="161">
        <f t="shared" si="231"/>
        <v>2020</v>
      </c>
      <c r="D3867" s="35" t="s">
        <v>317</v>
      </c>
      <c r="E3867" s="227">
        <v>44013</v>
      </c>
      <c r="F3867" s="156">
        <v>106808.82</v>
      </c>
      <c r="G3867" s="131">
        <f t="shared" si="232"/>
        <v>19140.140544000002</v>
      </c>
      <c r="H3867" s="156">
        <v>8816.0400000000009</v>
      </c>
      <c r="I3867" s="156">
        <v>0</v>
      </c>
      <c r="J3867" s="156">
        <v>0</v>
      </c>
      <c r="K3867" s="131">
        <f t="shared" si="233"/>
        <v>8816.0400000000009</v>
      </c>
      <c r="L3867" s="134">
        <v>0.1792</v>
      </c>
    </row>
    <row r="3868" spans="3:12">
      <c r="C3868" s="161">
        <f t="shared" si="231"/>
        <v>2020</v>
      </c>
      <c r="D3868" s="35" t="s">
        <v>317</v>
      </c>
      <c r="E3868" s="227">
        <v>44044</v>
      </c>
      <c r="F3868" s="156">
        <v>123012.9</v>
      </c>
      <c r="G3868" s="131">
        <f t="shared" si="232"/>
        <v>22043.911679999997</v>
      </c>
      <c r="H3868" s="156">
        <v>3223.74</v>
      </c>
      <c r="I3868" s="156">
        <v>0</v>
      </c>
      <c r="J3868" s="156">
        <v>0</v>
      </c>
      <c r="K3868" s="131">
        <f t="shared" si="233"/>
        <v>3223.74</v>
      </c>
      <c r="L3868" s="134">
        <v>0.1792</v>
      </c>
    </row>
    <row r="3869" spans="3:12">
      <c r="C3869" s="161">
        <f t="shared" si="231"/>
        <v>2020</v>
      </c>
      <c r="D3869" s="35" t="s">
        <v>317</v>
      </c>
      <c r="E3869" s="227">
        <v>44075</v>
      </c>
      <c r="F3869" s="156">
        <v>137769.12</v>
      </c>
      <c r="G3869" s="131">
        <f t="shared" si="232"/>
        <v>24688.226304</v>
      </c>
      <c r="H3869" s="156">
        <v>90321.21</v>
      </c>
      <c r="I3869" s="156">
        <v>0</v>
      </c>
      <c r="J3869" s="156">
        <v>0</v>
      </c>
      <c r="K3869" s="131">
        <f t="shared" si="233"/>
        <v>90321.21</v>
      </c>
      <c r="L3869" s="134">
        <v>0.1792</v>
      </c>
    </row>
    <row r="3870" spans="3:12">
      <c r="C3870" s="161">
        <f t="shared" si="231"/>
        <v>2020</v>
      </c>
      <c r="D3870" s="35" t="s">
        <v>317</v>
      </c>
      <c r="E3870" s="227">
        <v>44105</v>
      </c>
      <c r="F3870" s="156">
        <v>147121.72</v>
      </c>
      <c r="G3870" s="131">
        <f t="shared" si="232"/>
        <v>26364.212223999999</v>
      </c>
      <c r="H3870" s="156">
        <v>2158.1</v>
      </c>
      <c r="I3870" s="156">
        <v>0</v>
      </c>
      <c r="J3870" s="156">
        <v>0</v>
      </c>
      <c r="K3870" s="131">
        <f t="shared" si="233"/>
        <v>2158.1</v>
      </c>
      <c r="L3870" s="134">
        <v>0.1792</v>
      </c>
    </row>
    <row r="3871" spans="3:12">
      <c r="C3871" s="161">
        <f t="shared" si="231"/>
        <v>2020</v>
      </c>
      <c r="D3871" s="35" t="s">
        <v>317</v>
      </c>
      <c r="E3871" s="227">
        <v>44136</v>
      </c>
      <c r="F3871" s="156">
        <v>121129.62</v>
      </c>
      <c r="G3871" s="131">
        <f t="shared" si="232"/>
        <v>21706.427904</v>
      </c>
      <c r="H3871" s="156">
        <v>16099.87</v>
      </c>
      <c r="I3871" s="156">
        <v>0</v>
      </c>
      <c r="J3871" s="156">
        <v>0</v>
      </c>
      <c r="K3871" s="131">
        <f t="shared" si="233"/>
        <v>16099.87</v>
      </c>
      <c r="L3871" s="134">
        <v>0.1792</v>
      </c>
    </row>
    <row r="3872" spans="3:12">
      <c r="C3872" s="161">
        <f t="shared" si="231"/>
        <v>2020</v>
      </c>
      <c r="D3872" s="35" t="s">
        <v>317</v>
      </c>
      <c r="E3872" s="227">
        <v>44166</v>
      </c>
      <c r="F3872" s="156">
        <v>124830.95</v>
      </c>
      <c r="G3872" s="131">
        <f t="shared" si="232"/>
        <v>22369.70624</v>
      </c>
      <c r="H3872" s="156">
        <v>72.3</v>
      </c>
      <c r="I3872" s="156">
        <v>0.01</v>
      </c>
      <c r="J3872" s="156">
        <v>0</v>
      </c>
      <c r="K3872" s="131">
        <f t="shared" si="233"/>
        <v>72.31</v>
      </c>
      <c r="L3872" s="134">
        <v>0.1792</v>
      </c>
    </row>
    <row r="3873" spans="3:12">
      <c r="C3873" s="161">
        <f t="shared" si="231"/>
        <v>2021</v>
      </c>
      <c r="D3873" s="35" t="s">
        <v>317</v>
      </c>
      <c r="E3873" s="227">
        <v>44197</v>
      </c>
      <c r="F3873" s="156">
        <v>131125.59</v>
      </c>
      <c r="G3873" s="131">
        <f t="shared" si="232"/>
        <v>23497.705728000001</v>
      </c>
      <c r="H3873" s="156">
        <v>186.27</v>
      </c>
      <c r="I3873" s="156">
        <v>0</v>
      </c>
      <c r="J3873" s="156">
        <v>0</v>
      </c>
      <c r="K3873" s="131">
        <f t="shared" si="233"/>
        <v>186.27</v>
      </c>
      <c r="L3873" s="134">
        <v>0.1792</v>
      </c>
    </row>
    <row r="3874" spans="3:12">
      <c r="C3874" s="161">
        <f t="shared" si="231"/>
        <v>2021</v>
      </c>
      <c r="D3874" s="35" t="s">
        <v>317</v>
      </c>
      <c r="E3874" s="227">
        <v>44229</v>
      </c>
      <c r="F3874" s="156">
        <v>118349.97</v>
      </c>
      <c r="G3874" s="131">
        <f t="shared" si="232"/>
        <v>21208.314623999999</v>
      </c>
      <c r="H3874" s="156">
        <v>15733.92</v>
      </c>
      <c r="I3874" s="156">
        <v>2013.6</v>
      </c>
      <c r="J3874" s="156">
        <v>0</v>
      </c>
      <c r="K3874" s="131">
        <f t="shared" si="233"/>
        <v>17747.52</v>
      </c>
      <c r="L3874" s="134">
        <v>0.1792</v>
      </c>
    </row>
    <row r="3875" spans="3:12">
      <c r="C3875" s="161">
        <f t="shared" si="231"/>
        <v>2021</v>
      </c>
      <c r="D3875" s="35" t="s">
        <v>317</v>
      </c>
      <c r="E3875" s="227">
        <v>44258</v>
      </c>
      <c r="F3875" s="156">
        <v>112195.97</v>
      </c>
      <c r="G3875" s="131">
        <f t="shared" si="232"/>
        <v>20105.517823999999</v>
      </c>
      <c r="H3875" s="156">
        <v>9556.0499999999993</v>
      </c>
      <c r="I3875" s="156">
        <v>52414.879999999997</v>
      </c>
      <c r="J3875" s="156">
        <v>0</v>
      </c>
      <c r="K3875" s="131">
        <f t="shared" si="233"/>
        <v>61970.929999999993</v>
      </c>
      <c r="L3875" s="134">
        <v>0.1792</v>
      </c>
    </row>
    <row r="3876" spans="3:12">
      <c r="C3876" s="161">
        <f t="shared" si="231"/>
        <v>2021</v>
      </c>
      <c r="D3876" s="35" t="s">
        <v>317</v>
      </c>
      <c r="E3876" s="227">
        <v>44290</v>
      </c>
      <c r="F3876" s="156">
        <v>126816.83</v>
      </c>
      <c r="G3876" s="131">
        <f t="shared" si="232"/>
        <v>22725.575936000001</v>
      </c>
      <c r="H3876" s="156">
        <v>371.31</v>
      </c>
      <c r="I3876" s="156">
        <v>3643.12</v>
      </c>
      <c r="J3876" s="156">
        <v>0</v>
      </c>
      <c r="K3876" s="131">
        <f t="shared" si="233"/>
        <v>4014.43</v>
      </c>
      <c r="L3876" s="134">
        <v>0.1792</v>
      </c>
    </row>
    <row r="3877" spans="3:12">
      <c r="C3877" s="161">
        <f t="shared" si="231"/>
        <v>2021</v>
      </c>
      <c r="D3877" s="35" t="s">
        <v>317</v>
      </c>
      <c r="E3877" s="227">
        <v>44321</v>
      </c>
      <c r="F3877" s="156">
        <v>132210.6</v>
      </c>
      <c r="G3877" s="131">
        <f t="shared" si="232"/>
        <v>23692.139520000001</v>
      </c>
      <c r="H3877" s="156">
        <v>3391.89</v>
      </c>
      <c r="I3877" s="156">
        <v>1385.5</v>
      </c>
      <c r="J3877" s="156">
        <v>0</v>
      </c>
      <c r="K3877" s="131">
        <f t="shared" si="233"/>
        <v>4777.3899999999994</v>
      </c>
      <c r="L3877" s="134">
        <v>0.1792</v>
      </c>
    </row>
    <row r="3878" spans="3:12">
      <c r="C3878" s="161">
        <f t="shared" si="231"/>
        <v>2021</v>
      </c>
      <c r="D3878" s="35" t="s">
        <v>317</v>
      </c>
      <c r="E3878" s="227">
        <v>44353</v>
      </c>
      <c r="F3878" s="156">
        <v>131537.56</v>
      </c>
      <c r="G3878" s="131">
        <f t="shared" si="232"/>
        <v>23571.530751999999</v>
      </c>
      <c r="H3878" s="156">
        <v>154.18</v>
      </c>
      <c r="I3878" s="156">
        <v>-51.2</v>
      </c>
      <c r="J3878" s="156">
        <v>0</v>
      </c>
      <c r="K3878" s="131">
        <f t="shared" si="233"/>
        <v>102.98</v>
      </c>
      <c r="L3878" s="134">
        <v>0.1792</v>
      </c>
    </row>
    <row r="3879" spans="3:12">
      <c r="C3879" s="161">
        <f t="shared" si="231"/>
        <v>2015</v>
      </c>
      <c r="D3879" s="35" t="s">
        <v>318</v>
      </c>
      <c r="E3879" s="227">
        <v>42309</v>
      </c>
      <c r="F3879" s="156">
        <v>386255.35</v>
      </c>
      <c r="G3879" s="131">
        <f t="shared" si="232"/>
        <v>69216.958719999995</v>
      </c>
      <c r="H3879" s="156">
        <v>85024.51</v>
      </c>
      <c r="I3879" s="156">
        <v>0</v>
      </c>
      <c r="J3879" s="156">
        <v>0</v>
      </c>
      <c r="K3879" s="131">
        <f t="shared" si="233"/>
        <v>85024.51</v>
      </c>
      <c r="L3879" s="134">
        <v>0.1792</v>
      </c>
    </row>
    <row r="3880" spans="3:12">
      <c r="C3880" s="161">
        <f t="shared" si="231"/>
        <v>2015</v>
      </c>
      <c r="D3880" s="35" t="s">
        <v>318</v>
      </c>
      <c r="E3880" s="227">
        <v>42339</v>
      </c>
      <c r="F3880" s="156">
        <v>364396.42</v>
      </c>
      <c r="G3880" s="131">
        <f t="shared" si="232"/>
        <v>65299.838463999993</v>
      </c>
      <c r="H3880" s="156">
        <v>48957.23</v>
      </c>
      <c r="I3880" s="156">
        <v>0</v>
      </c>
      <c r="J3880" s="156">
        <v>0</v>
      </c>
      <c r="K3880" s="131">
        <f t="shared" si="233"/>
        <v>48957.23</v>
      </c>
      <c r="L3880" s="134">
        <v>0.1792</v>
      </c>
    </row>
    <row r="3881" spans="3:12">
      <c r="C3881" s="161">
        <f t="shared" si="231"/>
        <v>2016</v>
      </c>
      <c r="D3881" s="35" t="s">
        <v>318</v>
      </c>
      <c r="E3881" s="227">
        <v>42370</v>
      </c>
      <c r="F3881" s="156">
        <v>373033.54</v>
      </c>
      <c r="G3881" s="131">
        <f t="shared" si="232"/>
        <v>66847.610367999994</v>
      </c>
      <c r="H3881" s="156">
        <v>81715.08</v>
      </c>
      <c r="I3881" s="156">
        <v>0</v>
      </c>
      <c r="J3881" s="156">
        <v>0</v>
      </c>
      <c r="K3881" s="131">
        <f t="shared" si="233"/>
        <v>81715.08</v>
      </c>
      <c r="L3881" s="134">
        <v>0.1792</v>
      </c>
    </row>
    <row r="3882" spans="3:12">
      <c r="C3882" s="161">
        <f t="shared" si="231"/>
        <v>2016</v>
      </c>
      <c r="D3882" s="35" t="s">
        <v>318</v>
      </c>
      <c r="E3882" s="227">
        <v>42401</v>
      </c>
      <c r="F3882" s="156">
        <v>356981.78</v>
      </c>
      <c r="G3882" s="131">
        <f t="shared" si="232"/>
        <v>63971.134976000001</v>
      </c>
      <c r="H3882" s="156">
        <v>82281.14</v>
      </c>
      <c r="I3882" s="156">
        <v>0</v>
      </c>
      <c r="J3882" s="156">
        <v>0</v>
      </c>
      <c r="K3882" s="131">
        <f t="shared" si="233"/>
        <v>82281.14</v>
      </c>
      <c r="L3882" s="134">
        <v>0.1792</v>
      </c>
    </row>
    <row r="3883" spans="3:12">
      <c r="C3883" s="161">
        <f t="shared" si="231"/>
        <v>2016</v>
      </c>
      <c r="D3883" s="35" t="s">
        <v>318</v>
      </c>
      <c r="E3883" s="227">
        <v>42430</v>
      </c>
      <c r="F3883" s="156">
        <v>347351.44</v>
      </c>
      <c r="G3883" s="131">
        <f t="shared" si="232"/>
        <v>62245.378047999999</v>
      </c>
      <c r="H3883" s="156">
        <v>102155.42</v>
      </c>
      <c r="I3883" s="156">
        <v>0</v>
      </c>
      <c r="J3883" s="156">
        <v>0</v>
      </c>
      <c r="K3883" s="131">
        <f t="shared" si="233"/>
        <v>102155.42</v>
      </c>
      <c r="L3883" s="134">
        <v>0.1792</v>
      </c>
    </row>
    <row r="3884" spans="3:12">
      <c r="C3884" s="161">
        <f t="shared" si="231"/>
        <v>2016</v>
      </c>
      <c r="D3884" s="35" t="s">
        <v>318</v>
      </c>
      <c r="E3884" s="227">
        <v>42461</v>
      </c>
      <c r="F3884" s="156">
        <v>398054.39</v>
      </c>
      <c r="G3884" s="131">
        <f t="shared" si="232"/>
        <v>71331.346688000005</v>
      </c>
      <c r="H3884" s="156">
        <v>198503.98</v>
      </c>
      <c r="I3884" s="156">
        <v>45383.97</v>
      </c>
      <c r="J3884" s="156">
        <v>0</v>
      </c>
      <c r="K3884" s="131">
        <f t="shared" si="233"/>
        <v>243887.95</v>
      </c>
      <c r="L3884" s="134">
        <v>0.1792</v>
      </c>
    </row>
    <row r="3885" spans="3:12">
      <c r="C3885" s="161">
        <f t="shared" si="231"/>
        <v>2016</v>
      </c>
      <c r="D3885" s="35" t="s">
        <v>318</v>
      </c>
      <c r="E3885" s="227">
        <v>42491</v>
      </c>
      <c r="F3885" s="156">
        <v>351804.07</v>
      </c>
      <c r="G3885" s="131">
        <f t="shared" si="232"/>
        <v>63043.289343999997</v>
      </c>
      <c r="H3885" s="156">
        <v>80003.320000000007</v>
      </c>
      <c r="I3885" s="156">
        <v>23934.84</v>
      </c>
      <c r="J3885" s="156">
        <v>269</v>
      </c>
      <c r="K3885" s="131">
        <f t="shared" si="233"/>
        <v>104207.16</v>
      </c>
      <c r="L3885" s="134">
        <v>0.1792</v>
      </c>
    </row>
    <row r="3886" spans="3:12">
      <c r="C3886" s="161">
        <f t="shared" si="231"/>
        <v>2016</v>
      </c>
      <c r="D3886" s="35" t="s">
        <v>318</v>
      </c>
      <c r="E3886" s="227">
        <v>42522</v>
      </c>
      <c r="F3886" s="156">
        <v>362772.15</v>
      </c>
      <c r="G3886" s="131">
        <f t="shared" si="232"/>
        <v>65008.76928</v>
      </c>
      <c r="H3886" s="156">
        <v>247253.8</v>
      </c>
      <c r="I3886" s="156">
        <v>32715.67</v>
      </c>
      <c r="J3886" s="156">
        <v>52575.22</v>
      </c>
      <c r="K3886" s="131">
        <f t="shared" si="233"/>
        <v>332544.68999999994</v>
      </c>
      <c r="L3886" s="134">
        <v>0.1792</v>
      </c>
    </row>
    <row r="3887" spans="3:12">
      <c r="C3887" s="161">
        <f t="shared" si="231"/>
        <v>2016</v>
      </c>
      <c r="D3887" s="35" t="s">
        <v>318</v>
      </c>
      <c r="E3887" s="227">
        <v>42552</v>
      </c>
      <c r="F3887" s="156">
        <v>408748.7</v>
      </c>
      <c r="G3887" s="131">
        <f t="shared" si="232"/>
        <v>73247.767040000006</v>
      </c>
      <c r="H3887" s="156">
        <v>114037.89</v>
      </c>
      <c r="I3887" s="156">
        <v>207894.92</v>
      </c>
      <c r="J3887" s="156">
        <v>140372.22</v>
      </c>
      <c r="K3887" s="131">
        <f t="shared" si="233"/>
        <v>462305.03</v>
      </c>
      <c r="L3887" s="134">
        <v>0.1792</v>
      </c>
    </row>
    <row r="3888" spans="3:12">
      <c r="C3888" s="161">
        <f t="shared" si="231"/>
        <v>2016</v>
      </c>
      <c r="D3888" s="35" t="s">
        <v>318</v>
      </c>
      <c r="E3888" s="227">
        <v>42583</v>
      </c>
      <c r="F3888" s="156">
        <v>417995.08</v>
      </c>
      <c r="G3888" s="131">
        <f t="shared" si="232"/>
        <v>74904.718336000005</v>
      </c>
      <c r="H3888" s="156">
        <v>184192.27</v>
      </c>
      <c r="I3888" s="156">
        <v>145959.70000000001</v>
      </c>
      <c r="J3888" s="156">
        <v>111270.45</v>
      </c>
      <c r="K3888" s="131">
        <f t="shared" si="233"/>
        <v>441422.42</v>
      </c>
      <c r="L3888" s="134">
        <v>0.1792</v>
      </c>
    </row>
    <row r="3889" spans="3:12">
      <c r="C3889" s="161">
        <f t="shared" si="231"/>
        <v>2016</v>
      </c>
      <c r="D3889" s="35" t="s">
        <v>318</v>
      </c>
      <c r="E3889" s="227">
        <v>42614</v>
      </c>
      <c r="F3889" s="156">
        <v>410813.67</v>
      </c>
      <c r="G3889" s="131">
        <f t="shared" si="232"/>
        <v>73617.809664</v>
      </c>
      <c r="H3889" s="156">
        <v>143021.01</v>
      </c>
      <c r="I3889" s="156">
        <v>71367.460000000006</v>
      </c>
      <c r="J3889" s="156">
        <v>13114.48</v>
      </c>
      <c r="K3889" s="131">
        <f t="shared" si="233"/>
        <v>227502.95000000004</v>
      </c>
      <c r="L3889" s="134">
        <v>0.1792</v>
      </c>
    </row>
    <row r="3890" spans="3:12">
      <c r="C3890" s="161">
        <f t="shared" si="231"/>
        <v>2016</v>
      </c>
      <c r="D3890" s="35" t="s">
        <v>318</v>
      </c>
      <c r="E3890" s="227">
        <v>42644</v>
      </c>
      <c r="F3890" s="156">
        <v>451927.87</v>
      </c>
      <c r="G3890" s="131">
        <f t="shared" si="232"/>
        <v>80985.474304000003</v>
      </c>
      <c r="H3890" s="156">
        <v>134230.92000000001</v>
      </c>
      <c r="I3890" s="156">
        <v>38646.910000000003</v>
      </c>
      <c r="J3890" s="156">
        <v>0</v>
      </c>
      <c r="K3890" s="131">
        <f t="shared" si="233"/>
        <v>172877.83000000002</v>
      </c>
      <c r="L3890" s="134">
        <v>0.1792</v>
      </c>
    </row>
    <row r="3891" spans="3:12">
      <c r="C3891" s="161">
        <f t="shared" si="231"/>
        <v>2016</v>
      </c>
      <c r="D3891" s="35" t="s">
        <v>318</v>
      </c>
      <c r="E3891" s="227">
        <v>42675</v>
      </c>
      <c r="F3891" s="156">
        <v>432186.95</v>
      </c>
      <c r="G3891" s="131">
        <f t="shared" si="232"/>
        <v>77447.901440000001</v>
      </c>
      <c r="H3891" s="156">
        <v>28200.29</v>
      </c>
      <c r="I3891" s="156">
        <v>35996.730000000003</v>
      </c>
      <c r="J3891" s="156">
        <v>0</v>
      </c>
      <c r="K3891" s="131">
        <f t="shared" si="233"/>
        <v>64197.020000000004</v>
      </c>
      <c r="L3891" s="134">
        <v>0.1792</v>
      </c>
    </row>
    <row r="3892" spans="3:12">
      <c r="C3892" s="161">
        <f t="shared" si="231"/>
        <v>2016</v>
      </c>
      <c r="D3892" s="35" t="s">
        <v>318</v>
      </c>
      <c r="E3892" s="227">
        <v>42705</v>
      </c>
      <c r="F3892" s="156">
        <v>418948.75</v>
      </c>
      <c r="G3892" s="131">
        <f t="shared" si="232"/>
        <v>75075.615999999995</v>
      </c>
      <c r="H3892" s="156">
        <v>540767.25</v>
      </c>
      <c r="I3892" s="156">
        <v>57200.57</v>
      </c>
      <c r="J3892" s="156">
        <v>1576.4</v>
      </c>
      <c r="K3892" s="131">
        <f t="shared" si="233"/>
        <v>599544.22</v>
      </c>
      <c r="L3892" s="134">
        <v>0.1792</v>
      </c>
    </row>
    <row r="3893" spans="3:12">
      <c r="C3893" s="161">
        <f t="shared" si="231"/>
        <v>2017</v>
      </c>
      <c r="D3893" s="35" t="s">
        <v>318</v>
      </c>
      <c r="E3893" s="227">
        <v>42736</v>
      </c>
      <c r="F3893" s="156">
        <v>432469.22</v>
      </c>
      <c r="G3893" s="131">
        <f t="shared" si="232"/>
        <v>77498.484224</v>
      </c>
      <c r="H3893" s="156">
        <v>83109.19</v>
      </c>
      <c r="I3893" s="156">
        <v>0</v>
      </c>
      <c r="J3893" s="156">
        <v>0</v>
      </c>
      <c r="K3893" s="131">
        <f t="shared" si="233"/>
        <v>83109.19</v>
      </c>
      <c r="L3893" s="134">
        <v>0.1792</v>
      </c>
    </row>
    <row r="3894" spans="3:12">
      <c r="C3894" s="161">
        <f t="shared" si="231"/>
        <v>2017</v>
      </c>
      <c r="D3894" s="35" t="s">
        <v>318</v>
      </c>
      <c r="E3894" s="227">
        <v>42767</v>
      </c>
      <c r="F3894" s="156">
        <v>397262.14</v>
      </c>
      <c r="G3894" s="131">
        <f t="shared" si="232"/>
        <v>71189.375488000005</v>
      </c>
      <c r="H3894" s="156">
        <v>36703.89</v>
      </c>
      <c r="I3894" s="156">
        <v>74475.63</v>
      </c>
      <c r="J3894" s="156">
        <v>0</v>
      </c>
      <c r="K3894" s="131">
        <f t="shared" si="233"/>
        <v>111179.52</v>
      </c>
      <c r="L3894" s="134">
        <v>0.1792</v>
      </c>
    </row>
    <row r="3895" spans="3:12">
      <c r="C3895" s="161">
        <f t="shared" si="231"/>
        <v>2017</v>
      </c>
      <c r="D3895" s="35" t="s">
        <v>318</v>
      </c>
      <c r="E3895" s="227">
        <v>42795</v>
      </c>
      <c r="F3895" s="156">
        <v>401639.41</v>
      </c>
      <c r="G3895" s="131">
        <f t="shared" si="232"/>
        <v>71973.782271999997</v>
      </c>
      <c r="H3895" s="156">
        <v>215890.7</v>
      </c>
      <c r="I3895" s="156">
        <v>42900.83</v>
      </c>
      <c r="J3895" s="156">
        <v>0</v>
      </c>
      <c r="K3895" s="131">
        <f t="shared" si="233"/>
        <v>258791.53000000003</v>
      </c>
      <c r="L3895" s="134">
        <v>0.1792</v>
      </c>
    </row>
    <row r="3896" spans="3:12">
      <c r="C3896" s="161">
        <f t="shared" si="231"/>
        <v>2017</v>
      </c>
      <c r="D3896" s="35" t="s">
        <v>318</v>
      </c>
      <c r="E3896" s="227">
        <v>42826</v>
      </c>
      <c r="F3896" s="156">
        <v>413504.98</v>
      </c>
      <c r="G3896" s="131">
        <f t="shared" si="232"/>
        <v>74100.092416</v>
      </c>
      <c r="H3896" s="156">
        <v>173419.1</v>
      </c>
      <c r="I3896" s="156">
        <v>0</v>
      </c>
      <c r="J3896" s="156">
        <v>0</v>
      </c>
      <c r="K3896" s="131">
        <f t="shared" si="233"/>
        <v>173419.1</v>
      </c>
      <c r="L3896" s="134">
        <v>0.1792</v>
      </c>
    </row>
    <row r="3897" spans="3:12">
      <c r="C3897" s="161">
        <f t="shared" si="231"/>
        <v>2017</v>
      </c>
      <c r="D3897" s="35" t="s">
        <v>318</v>
      </c>
      <c r="E3897" s="227">
        <v>42856</v>
      </c>
      <c r="F3897" s="156">
        <v>416199.07</v>
      </c>
      <c r="G3897" s="131">
        <f t="shared" si="232"/>
        <v>74582.873344000007</v>
      </c>
      <c r="H3897" s="156">
        <v>8011.29</v>
      </c>
      <c r="I3897" s="156">
        <v>74205.789999999994</v>
      </c>
      <c r="J3897" s="156">
        <v>0</v>
      </c>
      <c r="K3897" s="131">
        <f t="shared" si="233"/>
        <v>82217.079999999987</v>
      </c>
      <c r="L3897" s="134">
        <v>0.1792</v>
      </c>
    </row>
    <row r="3898" spans="3:12">
      <c r="C3898" s="161">
        <f t="shared" si="231"/>
        <v>2017</v>
      </c>
      <c r="D3898" s="35" t="s">
        <v>318</v>
      </c>
      <c r="E3898" s="227">
        <v>42887</v>
      </c>
      <c r="F3898" s="156">
        <v>413042.44</v>
      </c>
      <c r="G3898" s="131">
        <f t="shared" si="232"/>
        <v>74017.205247999998</v>
      </c>
      <c r="H3898" s="156">
        <v>81114.89</v>
      </c>
      <c r="I3898" s="156">
        <v>0</v>
      </c>
      <c r="J3898" s="156">
        <v>0</v>
      </c>
      <c r="K3898" s="131">
        <f t="shared" si="233"/>
        <v>81114.89</v>
      </c>
      <c r="L3898" s="134">
        <v>0.1792</v>
      </c>
    </row>
    <row r="3899" spans="3:12">
      <c r="C3899" s="161">
        <f t="shared" si="231"/>
        <v>2017</v>
      </c>
      <c r="D3899" s="35" t="s">
        <v>318</v>
      </c>
      <c r="E3899" s="227">
        <v>42917</v>
      </c>
      <c r="F3899" s="156">
        <v>414979.94</v>
      </c>
      <c r="G3899" s="131">
        <f t="shared" si="232"/>
        <v>74364.405247999995</v>
      </c>
      <c r="H3899" s="156">
        <v>1804.55</v>
      </c>
      <c r="I3899" s="156">
        <v>21624.79</v>
      </c>
      <c r="J3899" s="156">
        <v>0</v>
      </c>
      <c r="K3899" s="131">
        <f t="shared" si="233"/>
        <v>23429.34</v>
      </c>
      <c r="L3899" s="134">
        <v>0.1792</v>
      </c>
    </row>
    <row r="3900" spans="3:12">
      <c r="C3900" s="161">
        <f t="shared" si="231"/>
        <v>2017</v>
      </c>
      <c r="D3900" s="35" t="s">
        <v>318</v>
      </c>
      <c r="E3900" s="227">
        <v>42948</v>
      </c>
      <c r="F3900" s="156">
        <v>456656.78</v>
      </c>
      <c r="G3900" s="131">
        <f t="shared" si="232"/>
        <v>81832.894976000011</v>
      </c>
      <c r="H3900" s="156">
        <v>100653.47</v>
      </c>
      <c r="I3900" s="156">
        <v>52127.66</v>
      </c>
      <c r="J3900" s="156">
        <v>0</v>
      </c>
      <c r="K3900" s="131">
        <f t="shared" si="233"/>
        <v>152781.13</v>
      </c>
      <c r="L3900" s="134">
        <v>0.1792</v>
      </c>
    </row>
    <row r="3901" spans="3:12">
      <c r="C3901" s="161">
        <f t="shared" si="231"/>
        <v>2017</v>
      </c>
      <c r="D3901" s="35" t="s">
        <v>318</v>
      </c>
      <c r="E3901" s="227">
        <v>42979</v>
      </c>
      <c r="F3901" s="156">
        <v>471862.01</v>
      </c>
      <c r="G3901" s="131">
        <f t="shared" si="232"/>
        <v>84557.672191999998</v>
      </c>
      <c r="H3901" s="156">
        <v>308392.21000000002</v>
      </c>
      <c r="I3901" s="156">
        <v>-6818.26</v>
      </c>
      <c r="J3901" s="156">
        <v>0</v>
      </c>
      <c r="K3901" s="131">
        <f t="shared" si="233"/>
        <v>301573.95</v>
      </c>
      <c r="L3901" s="134">
        <v>0.1792</v>
      </c>
    </row>
    <row r="3902" spans="3:12">
      <c r="C3902" s="161">
        <f t="shared" si="231"/>
        <v>2017</v>
      </c>
      <c r="D3902" s="35" t="s">
        <v>318</v>
      </c>
      <c r="E3902" s="227">
        <v>43009</v>
      </c>
      <c r="F3902" s="156">
        <v>462044.99</v>
      </c>
      <c r="G3902" s="131">
        <f t="shared" si="232"/>
        <v>82798.462207999997</v>
      </c>
      <c r="H3902" s="156">
        <v>113900.06</v>
      </c>
      <c r="I3902" s="156">
        <v>1546.37</v>
      </c>
      <c r="J3902" s="156">
        <v>0</v>
      </c>
      <c r="K3902" s="131">
        <f t="shared" si="233"/>
        <v>115446.43</v>
      </c>
      <c r="L3902" s="134">
        <v>0.1792</v>
      </c>
    </row>
    <row r="3903" spans="3:12">
      <c r="C3903" s="161">
        <f t="shared" si="231"/>
        <v>2017</v>
      </c>
      <c r="D3903" s="35" t="s">
        <v>318</v>
      </c>
      <c r="E3903" s="227">
        <v>43040</v>
      </c>
      <c r="F3903" s="156">
        <v>452533.91</v>
      </c>
      <c r="G3903" s="131">
        <f t="shared" si="232"/>
        <v>81094.076671999996</v>
      </c>
      <c r="H3903" s="156">
        <v>1243.98</v>
      </c>
      <c r="I3903" s="156">
        <v>18351.68</v>
      </c>
      <c r="J3903" s="156">
        <v>138500</v>
      </c>
      <c r="K3903" s="131">
        <f t="shared" si="233"/>
        <v>158095.66</v>
      </c>
      <c r="L3903" s="134">
        <v>0.1792</v>
      </c>
    </row>
    <row r="3904" spans="3:12">
      <c r="C3904" s="161">
        <f t="shared" si="231"/>
        <v>2017</v>
      </c>
      <c r="D3904" s="35" t="s">
        <v>318</v>
      </c>
      <c r="E3904" s="227">
        <v>43070</v>
      </c>
      <c r="F3904" s="156">
        <v>426140.83</v>
      </c>
      <c r="G3904" s="131">
        <f t="shared" si="232"/>
        <v>76364.436736000003</v>
      </c>
      <c r="H3904" s="156">
        <v>1236.8699999999999</v>
      </c>
      <c r="I3904" s="156">
        <v>0</v>
      </c>
      <c r="J3904" s="156">
        <v>16000</v>
      </c>
      <c r="K3904" s="131">
        <f t="shared" si="233"/>
        <v>17236.87</v>
      </c>
      <c r="L3904" s="134">
        <v>0.1792</v>
      </c>
    </row>
    <row r="3905" spans="3:12">
      <c r="C3905" s="161">
        <f t="shared" si="231"/>
        <v>2018</v>
      </c>
      <c r="D3905" s="35" t="s">
        <v>318</v>
      </c>
      <c r="E3905" s="227">
        <v>43101</v>
      </c>
      <c r="F3905" s="156">
        <v>436688.34</v>
      </c>
      <c r="G3905" s="131">
        <f t="shared" si="232"/>
        <v>78254.550528000007</v>
      </c>
      <c r="H3905" s="156">
        <v>147862.23000000001</v>
      </c>
      <c r="I3905" s="156">
        <v>0</v>
      </c>
      <c r="J3905" s="156">
        <v>0</v>
      </c>
      <c r="K3905" s="131">
        <f t="shared" si="233"/>
        <v>147862.23000000001</v>
      </c>
      <c r="L3905" s="134">
        <v>0.1792</v>
      </c>
    </row>
    <row r="3906" spans="3:12">
      <c r="C3906" s="161">
        <f t="shared" si="231"/>
        <v>2018</v>
      </c>
      <c r="D3906" s="35" t="s">
        <v>318</v>
      </c>
      <c r="E3906" s="227">
        <v>43132</v>
      </c>
      <c r="F3906" s="156">
        <v>477364.38</v>
      </c>
      <c r="G3906" s="131">
        <f t="shared" si="232"/>
        <v>85543.696895999994</v>
      </c>
      <c r="H3906" s="156">
        <v>2540</v>
      </c>
      <c r="I3906" s="156">
        <v>1215</v>
      </c>
      <c r="J3906" s="156">
        <v>0</v>
      </c>
      <c r="K3906" s="131">
        <f t="shared" si="233"/>
        <v>3755</v>
      </c>
      <c r="L3906" s="134">
        <v>0.1792</v>
      </c>
    </row>
    <row r="3907" spans="3:12">
      <c r="C3907" s="161">
        <f t="shared" si="231"/>
        <v>2018</v>
      </c>
      <c r="D3907" s="35" t="s">
        <v>318</v>
      </c>
      <c r="E3907" s="227">
        <v>43160</v>
      </c>
      <c r="F3907" s="156">
        <v>367778.08</v>
      </c>
      <c r="G3907" s="131">
        <f t="shared" si="232"/>
        <v>65905.831936000002</v>
      </c>
      <c r="H3907" s="156">
        <v>-1307.3499999999999</v>
      </c>
      <c r="I3907" s="156">
        <v>0</v>
      </c>
      <c r="J3907" s="156">
        <v>0</v>
      </c>
      <c r="K3907" s="131">
        <f t="shared" si="233"/>
        <v>-1307.3499999999999</v>
      </c>
      <c r="L3907" s="134">
        <v>0.1792</v>
      </c>
    </row>
    <row r="3908" spans="3:12">
      <c r="C3908" s="161">
        <f t="shared" ref="C3908:C3971" si="234">YEAR(E3908)</f>
        <v>2018</v>
      </c>
      <c r="D3908" s="35" t="s">
        <v>318</v>
      </c>
      <c r="E3908" s="227">
        <v>43191</v>
      </c>
      <c r="F3908" s="156">
        <v>442461.53</v>
      </c>
      <c r="G3908" s="131">
        <f t="shared" ref="G3908:G3971" si="235">F3908*L3908</f>
        <v>79289.106176000001</v>
      </c>
      <c r="H3908" s="156">
        <v>445.2</v>
      </c>
      <c r="I3908" s="156">
        <v>0</v>
      </c>
      <c r="J3908" s="156">
        <v>0</v>
      </c>
      <c r="K3908" s="131">
        <f t="shared" ref="K3908:K3971" si="236">SUM(H3908:J3908)</f>
        <v>445.2</v>
      </c>
      <c r="L3908" s="134">
        <v>0.1792</v>
      </c>
    </row>
    <row r="3909" spans="3:12">
      <c r="C3909" s="161">
        <f t="shared" si="234"/>
        <v>2018</v>
      </c>
      <c r="D3909" s="35" t="s">
        <v>318</v>
      </c>
      <c r="E3909" s="227">
        <v>43221</v>
      </c>
      <c r="F3909" s="156">
        <v>460785.57</v>
      </c>
      <c r="G3909" s="131">
        <f t="shared" si="235"/>
        <v>82572.774143999995</v>
      </c>
      <c r="H3909" s="156">
        <v>8088.67</v>
      </c>
      <c r="I3909" s="156">
        <v>2281.69</v>
      </c>
      <c r="J3909" s="156">
        <v>0</v>
      </c>
      <c r="K3909" s="131">
        <f t="shared" si="236"/>
        <v>10370.36</v>
      </c>
      <c r="L3909" s="134">
        <v>0.1792</v>
      </c>
    </row>
    <row r="3910" spans="3:12">
      <c r="C3910" s="161">
        <f t="shared" si="234"/>
        <v>2018</v>
      </c>
      <c r="D3910" s="35" t="s">
        <v>318</v>
      </c>
      <c r="E3910" s="227">
        <v>43252</v>
      </c>
      <c r="F3910" s="156">
        <v>434158.17</v>
      </c>
      <c r="G3910" s="131">
        <f t="shared" si="235"/>
        <v>77801.144063999993</v>
      </c>
      <c r="H3910" s="156">
        <v>3661.72</v>
      </c>
      <c r="I3910" s="156">
        <v>0</v>
      </c>
      <c r="J3910" s="156">
        <v>0</v>
      </c>
      <c r="K3910" s="131">
        <f t="shared" si="236"/>
        <v>3661.72</v>
      </c>
      <c r="L3910" s="134">
        <v>0.1792</v>
      </c>
    </row>
    <row r="3911" spans="3:12">
      <c r="C3911" s="161">
        <f t="shared" si="234"/>
        <v>2018</v>
      </c>
      <c r="D3911" s="35" t="s">
        <v>318</v>
      </c>
      <c r="E3911" s="227">
        <v>43282</v>
      </c>
      <c r="F3911" s="156">
        <v>430256.06</v>
      </c>
      <c r="G3911" s="131">
        <f t="shared" si="235"/>
        <v>77101.885951999997</v>
      </c>
      <c r="H3911" s="156">
        <v>2449.0100000000002</v>
      </c>
      <c r="I3911" s="156">
        <v>0</v>
      </c>
      <c r="J3911" s="156">
        <v>623.54999999999995</v>
      </c>
      <c r="K3911" s="131">
        <f t="shared" si="236"/>
        <v>3072.5600000000004</v>
      </c>
      <c r="L3911" s="134">
        <v>0.1792</v>
      </c>
    </row>
    <row r="3912" spans="3:12">
      <c r="C3912" s="161">
        <f t="shared" si="234"/>
        <v>2018</v>
      </c>
      <c r="D3912" s="35" t="s">
        <v>318</v>
      </c>
      <c r="E3912" s="227">
        <v>43313</v>
      </c>
      <c r="F3912" s="156">
        <v>468816.11</v>
      </c>
      <c r="G3912" s="131">
        <f t="shared" si="235"/>
        <v>84011.846911999994</v>
      </c>
      <c r="H3912" s="156">
        <v>2021.15</v>
      </c>
      <c r="I3912" s="156">
        <v>0</v>
      </c>
      <c r="J3912" s="156">
        <v>0</v>
      </c>
      <c r="K3912" s="131">
        <f t="shared" si="236"/>
        <v>2021.15</v>
      </c>
      <c r="L3912" s="134">
        <v>0.1792</v>
      </c>
    </row>
    <row r="3913" spans="3:12">
      <c r="C3913" s="161">
        <f t="shared" si="234"/>
        <v>2018</v>
      </c>
      <c r="D3913" s="35" t="s">
        <v>318</v>
      </c>
      <c r="E3913" s="227">
        <v>43344</v>
      </c>
      <c r="F3913" s="156">
        <v>485170.99</v>
      </c>
      <c r="G3913" s="131">
        <f t="shared" si="235"/>
        <v>86942.641407999996</v>
      </c>
      <c r="H3913" s="156">
        <v>344038.51</v>
      </c>
      <c r="I3913" s="156">
        <v>2410.87</v>
      </c>
      <c r="J3913" s="156">
        <v>0</v>
      </c>
      <c r="K3913" s="131">
        <f t="shared" si="236"/>
        <v>346449.38</v>
      </c>
      <c r="L3913" s="134">
        <v>0.1792</v>
      </c>
    </row>
    <row r="3914" spans="3:12">
      <c r="C3914" s="161">
        <f t="shared" si="234"/>
        <v>2018</v>
      </c>
      <c r="D3914" s="35" t="s">
        <v>318</v>
      </c>
      <c r="E3914" s="227">
        <v>43374</v>
      </c>
      <c r="F3914" s="156">
        <v>472553.15</v>
      </c>
      <c r="G3914" s="131">
        <f t="shared" si="235"/>
        <v>84681.524480000007</v>
      </c>
      <c r="H3914" s="156">
        <v>1526.86</v>
      </c>
      <c r="I3914" s="156">
        <v>0</v>
      </c>
      <c r="J3914" s="156">
        <v>0</v>
      </c>
      <c r="K3914" s="131">
        <f t="shared" si="236"/>
        <v>1526.86</v>
      </c>
      <c r="L3914" s="134">
        <v>0.1792</v>
      </c>
    </row>
    <row r="3915" spans="3:12">
      <c r="C3915" s="161">
        <f t="shared" si="234"/>
        <v>2018</v>
      </c>
      <c r="D3915" s="35" t="s">
        <v>318</v>
      </c>
      <c r="E3915" s="227">
        <v>43405</v>
      </c>
      <c r="F3915" s="156">
        <v>488557.39844999998</v>
      </c>
      <c r="G3915" s="131">
        <f t="shared" si="235"/>
        <v>87549.48580224</v>
      </c>
      <c r="H3915" s="156">
        <v>1599.23</v>
      </c>
      <c r="I3915" s="156">
        <v>1723.78</v>
      </c>
      <c r="J3915" s="156">
        <v>43222.5</v>
      </c>
      <c r="K3915" s="131">
        <f t="shared" si="236"/>
        <v>46545.51</v>
      </c>
      <c r="L3915" s="134">
        <v>0.1792</v>
      </c>
    </row>
    <row r="3916" spans="3:12">
      <c r="C3916" s="161">
        <f t="shared" si="234"/>
        <v>2018</v>
      </c>
      <c r="D3916" s="35" t="s">
        <v>318</v>
      </c>
      <c r="E3916" s="227">
        <v>43435</v>
      </c>
      <c r="F3916" s="156">
        <v>484701.56</v>
      </c>
      <c r="G3916" s="131">
        <f t="shared" si="235"/>
        <v>86858.519551999998</v>
      </c>
      <c r="H3916" s="156">
        <v>1311.51</v>
      </c>
      <c r="I3916" s="156">
        <v>0</v>
      </c>
      <c r="J3916" s="156">
        <v>375.27</v>
      </c>
      <c r="K3916" s="131">
        <f t="shared" si="236"/>
        <v>1686.78</v>
      </c>
      <c r="L3916" s="134">
        <v>0.1792</v>
      </c>
    </row>
    <row r="3917" spans="3:12">
      <c r="C3917" s="161">
        <f t="shared" si="234"/>
        <v>2019</v>
      </c>
      <c r="D3917" s="35" t="s">
        <v>318</v>
      </c>
      <c r="E3917" s="227">
        <v>43466</v>
      </c>
      <c r="F3917" s="156">
        <v>496911.73</v>
      </c>
      <c r="G3917" s="131">
        <f t="shared" si="235"/>
        <v>89046.582016</v>
      </c>
      <c r="H3917" s="156">
        <v>738.82</v>
      </c>
      <c r="I3917" s="156">
        <v>559.79999999999995</v>
      </c>
      <c r="J3917" s="156">
        <v>0</v>
      </c>
      <c r="K3917" s="131">
        <f t="shared" si="236"/>
        <v>1298.6199999999999</v>
      </c>
      <c r="L3917" s="134">
        <v>0.1792</v>
      </c>
    </row>
    <row r="3918" spans="3:12">
      <c r="C3918" s="161">
        <f t="shared" si="234"/>
        <v>2019</v>
      </c>
      <c r="D3918" s="35" t="s">
        <v>318</v>
      </c>
      <c r="E3918" s="227">
        <v>43497</v>
      </c>
      <c r="F3918" s="156">
        <v>483391.77</v>
      </c>
      <c r="G3918" s="131">
        <f t="shared" si="235"/>
        <v>86623.805183999997</v>
      </c>
      <c r="H3918" s="156">
        <v>2454.12</v>
      </c>
      <c r="I3918" s="156">
        <v>7736.6</v>
      </c>
      <c r="J3918" s="156">
        <v>0</v>
      </c>
      <c r="K3918" s="131">
        <f t="shared" si="236"/>
        <v>10190.720000000001</v>
      </c>
      <c r="L3918" s="134">
        <v>0.1792</v>
      </c>
    </row>
    <row r="3919" spans="3:12">
      <c r="C3919" s="161">
        <f t="shared" si="234"/>
        <v>2019</v>
      </c>
      <c r="D3919" s="35" t="s">
        <v>318</v>
      </c>
      <c r="E3919" s="227">
        <v>43525</v>
      </c>
      <c r="F3919" s="156">
        <v>445570.15</v>
      </c>
      <c r="G3919" s="131">
        <f t="shared" si="235"/>
        <v>79846.170880000005</v>
      </c>
      <c r="H3919" s="156">
        <v>434.6</v>
      </c>
      <c r="I3919" s="156">
        <v>4862.6899999999996</v>
      </c>
      <c r="J3919" s="156">
        <v>0</v>
      </c>
      <c r="K3919" s="131">
        <f t="shared" si="236"/>
        <v>5297.29</v>
      </c>
      <c r="L3919" s="134">
        <v>0.1792</v>
      </c>
    </row>
    <row r="3920" spans="3:12">
      <c r="C3920" s="161">
        <f t="shared" si="234"/>
        <v>2019</v>
      </c>
      <c r="D3920" s="35" t="s">
        <v>318</v>
      </c>
      <c r="E3920" s="227">
        <v>43556</v>
      </c>
      <c r="F3920" s="156">
        <v>480037.04</v>
      </c>
      <c r="G3920" s="131">
        <f t="shared" si="235"/>
        <v>86022.637567999991</v>
      </c>
      <c r="H3920" s="156">
        <v>387.18</v>
      </c>
      <c r="I3920" s="156">
        <v>0</v>
      </c>
      <c r="J3920" s="156">
        <v>0</v>
      </c>
      <c r="K3920" s="131">
        <f t="shared" si="236"/>
        <v>387.18</v>
      </c>
      <c r="L3920" s="134">
        <v>0.1792</v>
      </c>
    </row>
    <row r="3921" spans="3:12">
      <c r="C3921" s="161">
        <f t="shared" si="234"/>
        <v>2019</v>
      </c>
      <c r="D3921" s="35" t="s">
        <v>318</v>
      </c>
      <c r="E3921" s="227">
        <v>43586</v>
      </c>
      <c r="F3921" s="156">
        <v>471374.13</v>
      </c>
      <c r="G3921" s="131">
        <f t="shared" si="235"/>
        <v>84470.244095999995</v>
      </c>
      <c r="H3921" s="156">
        <v>1798.38</v>
      </c>
      <c r="I3921" s="156">
        <v>922.35</v>
      </c>
      <c r="J3921" s="156">
        <v>0</v>
      </c>
      <c r="K3921" s="131">
        <f t="shared" si="236"/>
        <v>2720.73</v>
      </c>
      <c r="L3921" s="134">
        <v>0.1792</v>
      </c>
    </row>
    <row r="3922" spans="3:12">
      <c r="C3922" s="161">
        <f t="shared" si="234"/>
        <v>2019</v>
      </c>
      <c r="D3922" s="35" t="s">
        <v>318</v>
      </c>
      <c r="E3922" s="227">
        <v>43617</v>
      </c>
      <c r="F3922" s="156">
        <v>484038.55</v>
      </c>
      <c r="G3922" s="131">
        <f t="shared" si="235"/>
        <v>86739.708159999995</v>
      </c>
      <c r="H3922" s="156">
        <v>1188.92</v>
      </c>
      <c r="I3922" s="156">
        <v>0</v>
      </c>
      <c r="J3922" s="156">
        <v>0</v>
      </c>
      <c r="K3922" s="131">
        <f t="shared" si="236"/>
        <v>1188.92</v>
      </c>
      <c r="L3922" s="134">
        <v>0.1792</v>
      </c>
    </row>
    <row r="3923" spans="3:12">
      <c r="C3923" s="161">
        <f t="shared" si="234"/>
        <v>2019</v>
      </c>
      <c r="D3923" s="35" t="s">
        <v>318</v>
      </c>
      <c r="E3923" s="227">
        <v>43647</v>
      </c>
      <c r="F3923" s="156">
        <v>467216.9</v>
      </c>
      <c r="G3923" s="131">
        <f t="shared" si="235"/>
        <v>83725.268479999999</v>
      </c>
      <c r="H3923" s="156">
        <v>22282.52</v>
      </c>
      <c r="I3923" s="156">
        <v>0</v>
      </c>
      <c r="J3923" s="156">
        <v>0</v>
      </c>
      <c r="K3923" s="131">
        <f t="shared" si="236"/>
        <v>22282.52</v>
      </c>
      <c r="L3923" s="134">
        <v>0.1792</v>
      </c>
    </row>
    <row r="3924" spans="3:12">
      <c r="C3924" s="161">
        <f t="shared" si="234"/>
        <v>2019</v>
      </c>
      <c r="D3924" s="35" t="s">
        <v>318</v>
      </c>
      <c r="E3924" s="227">
        <v>43678</v>
      </c>
      <c r="F3924" s="156">
        <v>494587.37</v>
      </c>
      <c r="G3924" s="131">
        <f t="shared" si="235"/>
        <v>88630.056704000002</v>
      </c>
      <c r="H3924" s="156">
        <v>1529.84</v>
      </c>
      <c r="I3924" s="156">
        <v>8348.08</v>
      </c>
      <c r="J3924" s="156">
        <v>0</v>
      </c>
      <c r="K3924" s="131">
        <f t="shared" si="236"/>
        <v>9877.92</v>
      </c>
      <c r="L3924" s="134">
        <v>0.1792</v>
      </c>
    </row>
    <row r="3925" spans="3:12">
      <c r="C3925" s="161">
        <f t="shared" si="234"/>
        <v>2019</v>
      </c>
      <c r="D3925" s="35" t="s">
        <v>318</v>
      </c>
      <c r="E3925" s="227">
        <v>43709</v>
      </c>
      <c r="F3925" s="156">
        <v>553622.56000000006</v>
      </c>
      <c r="G3925" s="131">
        <f t="shared" si="235"/>
        <v>99209.162752000004</v>
      </c>
      <c r="H3925" s="156">
        <v>1017.86</v>
      </c>
      <c r="I3925" s="156">
        <v>4291.07</v>
      </c>
      <c r="J3925" s="156">
        <v>0</v>
      </c>
      <c r="K3925" s="131">
        <f t="shared" si="236"/>
        <v>5308.9299999999994</v>
      </c>
      <c r="L3925" s="134">
        <v>0.1792</v>
      </c>
    </row>
    <row r="3926" spans="3:12">
      <c r="C3926" s="161">
        <f t="shared" si="234"/>
        <v>2019</v>
      </c>
      <c r="D3926" s="35" t="s">
        <v>318</v>
      </c>
      <c r="E3926" s="227">
        <v>43739</v>
      </c>
      <c r="F3926" s="156">
        <v>520216.07</v>
      </c>
      <c r="G3926" s="131">
        <f t="shared" si="235"/>
        <v>93222.719744000002</v>
      </c>
      <c r="H3926" s="156">
        <v>3212.54</v>
      </c>
      <c r="I3926" s="156">
        <v>0</v>
      </c>
      <c r="J3926" s="156">
        <v>0</v>
      </c>
      <c r="K3926" s="131">
        <f t="shared" si="236"/>
        <v>3212.54</v>
      </c>
      <c r="L3926" s="134">
        <v>0.1792</v>
      </c>
    </row>
    <row r="3927" spans="3:12">
      <c r="C3927" s="161">
        <f t="shared" si="234"/>
        <v>2019</v>
      </c>
      <c r="D3927" s="35" t="s">
        <v>318</v>
      </c>
      <c r="E3927" s="227">
        <v>43770</v>
      </c>
      <c r="F3927" s="156">
        <v>533925.25</v>
      </c>
      <c r="G3927" s="131">
        <f t="shared" si="235"/>
        <v>95679.404800000004</v>
      </c>
      <c r="H3927" s="156">
        <v>7523.77</v>
      </c>
      <c r="I3927" s="156">
        <v>382.86</v>
      </c>
      <c r="J3927" s="156">
        <v>0</v>
      </c>
      <c r="K3927" s="131">
        <f t="shared" si="236"/>
        <v>7906.63</v>
      </c>
      <c r="L3927" s="134">
        <v>0.1792</v>
      </c>
    </row>
    <row r="3928" spans="3:12">
      <c r="C3928" s="161">
        <f t="shared" si="234"/>
        <v>2019</v>
      </c>
      <c r="D3928" s="35" t="s">
        <v>318</v>
      </c>
      <c r="E3928" s="227">
        <v>43800</v>
      </c>
      <c r="F3928" s="156">
        <v>518313.52</v>
      </c>
      <c r="G3928" s="131">
        <f t="shared" si="235"/>
        <v>92881.782783999995</v>
      </c>
      <c r="H3928" s="156">
        <v>1196.81</v>
      </c>
      <c r="I3928" s="156">
        <v>388.1</v>
      </c>
      <c r="J3928" s="156">
        <v>0</v>
      </c>
      <c r="K3928" s="131">
        <f t="shared" si="236"/>
        <v>1584.9099999999999</v>
      </c>
      <c r="L3928" s="134">
        <v>0.1792</v>
      </c>
    </row>
    <row r="3929" spans="3:12">
      <c r="C3929" s="161">
        <f t="shared" si="234"/>
        <v>2020</v>
      </c>
      <c r="D3929" s="35" t="s">
        <v>318</v>
      </c>
      <c r="E3929" s="227">
        <v>43831</v>
      </c>
      <c r="F3929" s="156">
        <v>500201.13</v>
      </c>
      <c r="G3929" s="131">
        <f t="shared" si="235"/>
        <v>89636.042495999995</v>
      </c>
      <c r="H3929" s="156">
        <v>1557.46</v>
      </c>
      <c r="I3929" s="156">
        <v>1276.7</v>
      </c>
      <c r="J3929" s="156">
        <v>1888.3</v>
      </c>
      <c r="K3929" s="131">
        <f t="shared" si="236"/>
        <v>4722.46</v>
      </c>
      <c r="L3929" s="134">
        <v>0.1792</v>
      </c>
    </row>
    <row r="3930" spans="3:12">
      <c r="C3930" s="161">
        <f t="shared" si="234"/>
        <v>2020</v>
      </c>
      <c r="D3930" s="35" t="s">
        <v>318</v>
      </c>
      <c r="E3930" s="227">
        <v>43862</v>
      </c>
      <c r="F3930" s="156">
        <v>468385.99</v>
      </c>
      <c r="G3930" s="131">
        <f t="shared" si="235"/>
        <v>83934.769407999993</v>
      </c>
      <c r="H3930" s="156">
        <v>2072.77</v>
      </c>
      <c r="I3930" s="156">
        <v>1705.34</v>
      </c>
      <c r="J3930" s="156">
        <v>0</v>
      </c>
      <c r="K3930" s="131">
        <f t="shared" si="236"/>
        <v>3778.1099999999997</v>
      </c>
      <c r="L3930" s="134">
        <v>0.1792</v>
      </c>
    </row>
    <row r="3931" spans="3:12">
      <c r="C3931" s="161">
        <f t="shared" si="234"/>
        <v>2020</v>
      </c>
      <c r="D3931" s="35" t="s">
        <v>318</v>
      </c>
      <c r="E3931" s="227">
        <v>43891</v>
      </c>
      <c r="F3931" s="156">
        <v>482466.31290000002</v>
      </c>
      <c r="G3931" s="131">
        <f t="shared" si="235"/>
        <v>86457.963271679997</v>
      </c>
      <c r="H3931" s="156">
        <v>8328.7199999999993</v>
      </c>
      <c r="I3931" s="156">
        <v>0</v>
      </c>
      <c r="J3931" s="156">
        <v>0</v>
      </c>
      <c r="K3931" s="131">
        <f t="shared" si="236"/>
        <v>8328.7199999999993</v>
      </c>
      <c r="L3931" s="134">
        <v>0.1792</v>
      </c>
    </row>
    <row r="3932" spans="3:12">
      <c r="C3932" s="161">
        <f t="shared" si="234"/>
        <v>2020</v>
      </c>
      <c r="D3932" s="35" t="s">
        <v>318</v>
      </c>
      <c r="E3932" s="227">
        <v>43922</v>
      </c>
      <c r="F3932" s="156">
        <v>513901.85879999999</v>
      </c>
      <c r="G3932" s="131">
        <f t="shared" si="235"/>
        <v>92091.213096959997</v>
      </c>
      <c r="H3932" s="156">
        <v>1200.69</v>
      </c>
      <c r="I3932" s="156">
        <v>0</v>
      </c>
      <c r="J3932" s="156">
        <v>0</v>
      </c>
      <c r="K3932" s="131">
        <f t="shared" si="236"/>
        <v>1200.69</v>
      </c>
      <c r="L3932" s="134">
        <v>0.1792</v>
      </c>
    </row>
    <row r="3933" spans="3:12">
      <c r="C3933" s="161">
        <f t="shared" si="234"/>
        <v>2020</v>
      </c>
      <c r="D3933" s="35" t="s">
        <v>318</v>
      </c>
      <c r="E3933" s="227">
        <v>43952</v>
      </c>
      <c r="F3933" s="156">
        <v>465549.84</v>
      </c>
      <c r="G3933" s="131">
        <f t="shared" si="235"/>
        <v>83426.531327999997</v>
      </c>
      <c r="H3933" s="156">
        <v>4947.83</v>
      </c>
      <c r="I3933" s="156">
        <v>0</v>
      </c>
      <c r="J3933" s="156">
        <v>0</v>
      </c>
      <c r="K3933" s="131">
        <f t="shared" si="236"/>
        <v>4947.83</v>
      </c>
      <c r="L3933" s="134">
        <v>0.1792</v>
      </c>
    </row>
    <row r="3934" spans="3:12">
      <c r="C3934" s="161">
        <f t="shared" si="234"/>
        <v>2020</v>
      </c>
      <c r="D3934" s="35" t="s">
        <v>318</v>
      </c>
      <c r="E3934" s="227">
        <v>43983</v>
      </c>
      <c r="F3934" s="156">
        <v>481023.89</v>
      </c>
      <c r="G3934" s="131">
        <f t="shared" si="235"/>
        <v>86199.481088</v>
      </c>
      <c r="H3934" s="156">
        <v>19834.32</v>
      </c>
      <c r="I3934" s="156">
        <v>0</v>
      </c>
      <c r="J3934" s="156">
        <v>0</v>
      </c>
      <c r="K3934" s="131">
        <f t="shared" si="236"/>
        <v>19834.32</v>
      </c>
      <c r="L3934" s="134">
        <v>0.1792</v>
      </c>
    </row>
    <row r="3935" spans="3:12">
      <c r="C3935" s="161">
        <f t="shared" si="234"/>
        <v>2020</v>
      </c>
      <c r="D3935" s="35" t="s">
        <v>318</v>
      </c>
      <c r="E3935" s="227">
        <v>44013</v>
      </c>
      <c r="F3935" s="156">
        <v>494646.26</v>
      </c>
      <c r="G3935" s="131">
        <f t="shared" si="235"/>
        <v>88640.609792000003</v>
      </c>
      <c r="H3935" s="156">
        <v>26332.71</v>
      </c>
      <c r="I3935" s="156">
        <v>2626.65</v>
      </c>
      <c r="J3935" s="156">
        <v>0</v>
      </c>
      <c r="K3935" s="131">
        <f t="shared" si="236"/>
        <v>28959.360000000001</v>
      </c>
      <c r="L3935" s="134">
        <v>0.1792</v>
      </c>
    </row>
    <row r="3936" spans="3:12">
      <c r="C3936" s="161">
        <f t="shared" si="234"/>
        <v>2020</v>
      </c>
      <c r="D3936" s="35" t="s">
        <v>318</v>
      </c>
      <c r="E3936" s="227">
        <v>44044</v>
      </c>
      <c r="F3936" s="156">
        <v>550908.43999999994</v>
      </c>
      <c r="G3936" s="131">
        <f t="shared" si="235"/>
        <v>98722.792447999993</v>
      </c>
      <c r="H3936" s="156">
        <v>3154.45</v>
      </c>
      <c r="I3936" s="156">
        <v>611.08000000000004</v>
      </c>
      <c r="J3936" s="156">
        <v>0</v>
      </c>
      <c r="K3936" s="131">
        <f t="shared" si="236"/>
        <v>3765.5299999999997</v>
      </c>
      <c r="L3936" s="134">
        <v>0.1792</v>
      </c>
    </row>
    <row r="3937" spans="3:12">
      <c r="C3937" s="161">
        <f t="shared" si="234"/>
        <v>2020</v>
      </c>
      <c r="D3937" s="35" t="s">
        <v>318</v>
      </c>
      <c r="E3937" s="227">
        <v>44075</v>
      </c>
      <c r="F3937" s="156">
        <v>628549.38</v>
      </c>
      <c r="G3937" s="131">
        <f t="shared" si="235"/>
        <v>112636.04889599999</v>
      </c>
      <c r="H3937" s="156">
        <v>16222.12</v>
      </c>
      <c r="I3937" s="156">
        <v>10927.4</v>
      </c>
      <c r="J3937" s="156">
        <v>0</v>
      </c>
      <c r="K3937" s="131">
        <f t="shared" si="236"/>
        <v>27149.52</v>
      </c>
      <c r="L3937" s="134">
        <v>0.1792</v>
      </c>
    </row>
    <row r="3938" spans="3:12">
      <c r="C3938" s="161">
        <f t="shared" si="234"/>
        <v>2020</v>
      </c>
      <c r="D3938" s="35" t="s">
        <v>318</v>
      </c>
      <c r="E3938" s="227">
        <v>44105</v>
      </c>
      <c r="F3938" s="156">
        <v>628751.03</v>
      </c>
      <c r="G3938" s="131">
        <f t="shared" si="235"/>
        <v>112672.184576</v>
      </c>
      <c r="H3938" s="156">
        <v>35839.61</v>
      </c>
      <c r="I3938" s="156">
        <v>1250.28</v>
      </c>
      <c r="J3938" s="156">
        <v>0</v>
      </c>
      <c r="K3938" s="131">
        <f t="shared" si="236"/>
        <v>37089.89</v>
      </c>
      <c r="L3938" s="134">
        <v>0.1792</v>
      </c>
    </row>
    <row r="3939" spans="3:12">
      <c r="C3939" s="161">
        <f t="shared" si="234"/>
        <v>2020</v>
      </c>
      <c r="D3939" s="35" t="s">
        <v>318</v>
      </c>
      <c r="E3939" s="227">
        <v>44136</v>
      </c>
      <c r="F3939" s="156">
        <v>558020.13</v>
      </c>
      <c r="G3939" s="131">
        <f t="shared" si="235"/>
        <v>99997.207295999993</v>
      </c>
      <c r="H3939" s="156">
        <v>22014.42</v>
      </c>
      <c r="I3939" s="156">
        <v>72.81</v>
      </c>
      <c r="J3939" s="156">
        <v>0</v>
      </c>
      <c r="K3939" s="131">
        <f t="shared" si="236"/>
        <v>22087.23</v>
      </c>
      <c r="L3939" s="134">
        <v>0.1792</v>
      </c>
    </row>
    <row r="3940" spans="3:12">
      <c r="C3940" s="161">
        <f t="shared" si="234"/>
        <v>2020</v>
      </c>
      <c r="D3940" s="35" t="s">
        <v>318</v>
      </c>
      <c r="E3940" s="227">
        <v>44166</v>
      </c>
      <c r="F3940" s="156">
        <v>572020.04</v>
      </c>
      <c r="G3940" s="131">
        <f t="shared" si="235"/>
        <v>102505.99116800001</v>
      </c>
      <c r="H3940" s="156">
        <v>1605.47</v>
      </c>
      <c r="I3940" s="156">
        <v>72.81</v>
      </c>
      <c r="J3940" s="156">
        <v>0</v>
      </c>
      <c r="K3940" s="131">
        <f t="shared" si="236"/>
        <v>1678.28</v>
      </c>
      <c r="L3940" s="134">
        <v>0.1792</v>
      </c>
    </row>
    <row r="3941" spans="3:12">
      <c r="C3941" s="161">
        <f t="shared" si="234"/>
        <v>2021</v>
      </c>
      <c r="D3941" s="35" t="s">
        <v>318</v>
      </c>
      <c r="E3941" s="227">
        <v>44197</v>
      </c>
      <c r="F3941" s="156">
        <v>579470.46</v>
      </c>
      <c r="G3941" s="131">
        <f t="shared" si="235"/>
        <v>103841.10643199999</v>
      </c>
      <c r="H3941" s="156">
        <v>2657.27</v>
      </c>
      <c r="I3941" s="156">
        <v>72.81</v>
      </c>
      <c r="J3941" s="156">
        <v>0</v>
      </c>
      <c r="K3941" s="131">
        <f t="shared" si="236"/>
        <v>2730.08</v>
      </c>
      <c r="L3941" s="134">
        <v>0.1792</v>
      </c>
    </row>
    <row r="3942" spans="3:12">
      <c r="C3942" s="161">
        <f t="shared" si="234"/>
        <v>2021</v>
      </c>
      <c r="D3942" s="35" t="s">
        <v>318</v>
      </c>
      <c r="E3942" s="227">
        <v>44229</v>
      </c>
      <c r="F3942" s="156">
        <v>528957.62</v>
      </c>
      <c r="G3942" s="131">
        <f t="shared" si="235"/>
        <v>94789.205503999998</v>
      </c>
      <c r="H3942" s="156">
        <v>2717.43</v>
      </c>
      <c r="I3942" s="156">
        <v>72.81</v>
      </c>
      <c r="J3942" s="156">
        <v>0</v>
      </c>
      <c r="K3942" s="131">
        <f t="shared" si="236"/>
        <v>2790.24</v>
      </c>
      <c r="L3942" s="134">
        <v>0.1792</v>
      </c>
    </row>
    <row r="3943" spans="3:12">
      <c r="C3943" s="161">
        <f t="shared" si="234"/>
        <v>2021</v>
      </c>
      <c r="D3943" s="35" t="s">
        <v>318</v>
      </c>
      <c r="E3943" s="227">
        <v>44258</v>
      </c>
      <c r="F3943" s="156">
        <v>503616.53</v>
      </c>
      <c r="G3943" s="131">
        <f t="shared" si="235"/>
        <v>90248.082176000011</v>
      </c>
      <c r="H3943" s="156">
        <v>6952.74</v>
      </c>
      <c r="I3943" s="156">
        <v>185829.87</v>
      </c>
      <c r="J3943" s="156">
        <v>0</v>
      </c>
      <c r="K3943" s="131">
        <f t="shared" si="236"/>
        <v>192782.61</v>
      </c>
      <c r="L3943" s="134">
        <v>0.1792</v>
      </c>
    </row>
    <row r="3944" spans="3:12">
      <c r="C3944" s="161">
        <f t="shared" si="234"/>
        <v>2021</v>
      </c>
      <c r="D3944" s="35" t="s">
        <v>318</v>
      </c>
      <c r="E3944" s="227">
        <v>44290</v>
      </c>
      <c r="F3944" s="156">
        <v>584821.91</v>
      </c>
      <c r="G3944" s="131">
        <f t="shared" si="235"/>
        <v>104800.086272</v>
      </c>
      <c r="H3944" s="156">
        <v>10105.370000000001</v>
      </c>
      <c r="I3944" s="156">
        <v>79948.58</v>
      </c>
      <c r="J3944" s="156">
        <v>0</v>
      </c>
      <c r="K3944" s="131">
        <f t="shared" si="236"/>
        <v>90053.95</v>
      </c>
      <c r="L3944" s="134">
        <v>0.1792</v>
      </c>
    </row>
    <row r="3945" spans="3:12">
      <c r="C3945" s="161">
        <f t="shared" si="234"/>
        <v>2021</v>
      </c>
      <c r="D3945" s="35" t="s">
        <v>318</v>
      </c>
      <c r="E3945" s="227">
        <v>44321</v>
      </c>
      <c r="F3945" s="156">
        <v>551353.31999999995</v>
      </c>
      <c r="G3945" s="131">
        <f t="shared" si="235"/>
        <v>98802.514943999995</v>
      </c>
      <c r="H3945" s="156">
        <v>5014.12</v>
      </c>
      <c r="I3945" s="156">
        <v>154099.81</v>
      </c>
      <c r="J3945" s="156">
        <v>0</v>
      </c>
      <c r="K3945" s="131">
        <f t="shared" si="236"/>
        <v>159113.93</v>
      </c>
      <c r="L3945" s="134">
        <v>0.1792</v>
      </c>
    </row>
    <row r="3946" spans="3:12">
      <c r="C3946" s="161">
        <f t="shared" si="234"/>
        <v>2021</v>
      </c>
      <c r="D3946" s="35" t="s">
        <v>318</v>
      </c>
      <c r="E3946" s="227">
        <v>44353</v>
      </c>
      <c r="F3946" s="156">
        <v>550565.09</v>
      </c>
      <c r="G3946" s="131">
        <f t="shared" si="235"/>
        <v>98661.264127999995</v>
      </c>
      <c r="H3946" s="156">
        <v>2785.29</v>
      </c>
      <c r="I3946" s="156">
        <v>33493.65</v>
      </c>
      <c r="J3946" s="156">
        <v>0</v>
      </c>
      <c r="K3946" s="131">
        <f t="shared" si="236"/>
        <v>36278.94</v>
      </c>
      <c r="L3946" s="134">
        <v>0.1792</v>
      </c>
    </row>
    <row r="3947" spans="3:12">
      <c r="C3947" s="161">
        <f t="shared" si="234"/>
        <v>2015</v>
      </c>
      <c r="D3947" s="35" t="s">
        <v>319</v>
      </c>
      <c r="E3947" s="227">
        <v>42309</v>
      </c>
      <c r="F3947" s="156">
        <v>66040.86</v>
      </c>
      <c r="G3947" s="131">
        <f t="shared" si="235"/>
        <v>11834.522112000001</v>
      </c>
      <c r="H3947" s="156">
        <v>238.99</v>
      </c>
      <c r="I3947" s="156">
        <v>0</v>
      </c>
      <c r="J3947" s="156">
        <v>0</v>
      </c>
      <c r="K3947" s="131">
        <f t="shared" si="236"/>
        <v>238.99</v>
      </c>
      <c r="L3947" s="134">
        <v>0.1792</v>
      </c>
    </row>
    <row r="3948" spans="3:12">
      <c r="C3948" s="161">
        <f t="shared" si="234"/>
        <v>2015</v>
      </c>
      <c r="D3948" s="35" t="s">
        <v>319</v>
      </c>
      <c r="E3948" s="227">
        <v>42339</v>
      </c>
      <c r="F3948" s="156">
        <v>61616.11</v>
      </c>
      <c r="G3948" s="131">
        <f t="shared" si="235"/>
        <v>11041.606911999999</v>
      </c>
      <c r="H3948" s="156">
        <v>287.19</v>
      </c>
      <c r="I3948" s="156">
        <v>0</v>
      </c>
      <c r="J3948" s="156">
        <v>0</v>
      </c>
      <c r="K3948" s="131">
        <f t="shared" si="236"/>
        <v>287.19</v>
      </c>
      <c r="L3948" s="134">
        <v>0.1792</v>
      </c>
    </row>
    <row r="3949" spans="3:12">
      <c r="C3949" s="161">
        <f t="shared" si="234"/>
        <v>2016</v>
      </c>
      <c r="D3949" s="35" t="s">
        <v>319</v>
      </c>
      <c r="E3949" s="227">
        <v>42370</v>
      </c>
      <c r="F3949" s="156">
        <v>64191.89</v>
      </c>
      <c r="G3949" s="131">
        <f t="shared" si="235"/>
        <v>11503.186688</v>
      </c>
      <c r="H3949" s="156">
        <v>269.11</v>
      </c>
      <c r="I3949" s="156">
        <v>0</v>
      </c>
      <c r="J3949" s="156">
        <v>0</v>
      </c>
      <c r="K3949" s="131">
        <f t="shared" si="236"/>
        <v>269.11</v>
      </c>
      <c r="L3949" s="134">
        <v>0.1792</v>
      </c>
    </row>
    <row r="3950" spans="3:12">
      <c r="C3950" s="161">
        <f t="shared" si="234"/>
        <v>2016</v>
      </c>
      <c r="D3950" s="35" t="s">
        <v>319</v>
      </c>
      <c r="E3950" s="227">
        <v>42401</v>
      </c>
      <c r="F3950" s="156">
        <v>64479.42</v>
      </c>
      <c r="G3950" s="131">
        <f t="shared" si="235"/>
        <v>11554.712063999999</v>
      </c>
      <c r="H3950" s="156">
        <v>149.97</v>
      </c>
      <c r="I3950" s="156">
        <v>0</v>
      </c>
      <c r="J3950" s="156">
        <v>0</v>
      </c>
      <c r="K3950" s="131">
        <f t="shared" si="236"/>
        <v>149.97</v>
      </c>
      <c r="L3950" s="134">
        <v>0.1792</v>
      </c>
    </row>
    <row r="3951" spans="3:12">
      <c r="C3951" s="161">
        <f t="shared" si="234"/>
        <v>2016</v>
      </c>
      <c r="D3951" s="35" t="s">
        <v>319</v>
      </c>
      <c r="E3951" s="227">
        <v>42430</v>
      </c>
      <c r="F3951" s="156">
        <v>60970.83</v>
      </c>
      <c r="G3951" s="131">
        <f t="shared" si="235"/>
        <v>10925.972736</v>
      </c>
      <c r="H3951" s="156">
        <v>0</v>
      </c>
      <c r="I3951" s="156">
        <v>0</v>
      </c>
      <c r="J3951" s="156">
        <v>0</v>
      </c>
      <c r="K3951" s="131">
        <f t="shared" si="236"/>
        <v>0</v>
      </c>
      <c r="L3951" s="134">
        <v>0.1792</v>
      </c>
    </row>
    <row r="3952" spans="3:12">
      <c r="C3952" s="161">
        <f t="shared" si="234"/>
        <v>2016</v>
      </c>
      <c r="D3952" s="35" t="s">
        <v>319</v>
      </c>
      <c r="E3952" s="227">
        <v>42461</v>
      </c>
      <c r="F3952" s="156">
        <v>73667.47</v>
      </c>
      <c r="G3952" s="131">
        <f t="shared" si="235"/>
        <v>13201.210623999999</v>
      </c>
      <c r="H3952" s="156">
        <v>1296.93</v>
      </c>
      <c r="I3952" s="156">
        <v>798.31</v>
      </c>
      <c r="J3952" s="156">
        <v>283.37</v>
      </c>
      <c r="K3952" s="131">
        <f t="shared" si="236"/>
        <v>2378.6099999999997</v>
      </c>
      <c r="L3952" s="134">
        <v>0.1792</v>
      </c>
    </row>
    <row r="3953" spans="3:12">
      <c r="C3953" s="161">
        <f t="shared" si="234"/>
        <v>2016</v>
      </c>
      <c r="D3953" s="35" t="s">
        <v>319</v>
      </c>
      <c r="E3953" s="227">
        <v>42491</v>
      </c>
      <c r="F3953" s="156">
        <v>54255.01</v>
      </c>
      <c r="G3953" s="131">
        <f t="shared" si="235"/>
        <v>9722.4977920000001</v>
      </c>
      <c r="H3953" s="156">
        <v>92.58</v>
      </c>
      <c r="I3953" s="156">
        <v>1829.06</v>
      </c>
      <c r="J3953" s="156">
        <v>0</v>
      </c>
      <c r="K3953" s="131">
        <f t="shared" si="236"/>
        <v>1921.6399999999999</v>
      </c>
      <c r="L3953" s="134">
        <v>0.1792</v>
      </c>
    </row>
    <row r="3954" spans="3:12">
      <c r="C3954" s="161">
        <f t="shared" si="234"/>
        <v>2016</v>
      </c>
      <c r="D3954" s="35" t="s">
        <v>319</v>
      </c>
      <c r="E3954" s="227">
        <v>42522</v>
      </c>
      <c r="F3954" s="156">
        <v>58030.49</v>
      </c>
      <c r="G3954" s="131">
        <f t="shared" si="235"/>
        <v>10399.063807999999</v>
      </c>
      <c r="H3954" s="156">
        <v>91.82</v>
      </c>
      <c r="I3954" s="156">
        <v>0</v>
      </c>
      <c r="J3954" s="156">
        <v>0</v>
      </c>
      <c r="K3954" s="131">
        <f t="shared" si="236"/>
        <v>91.82</v>
      </c>
      <c r="L3954" s="134">
        <v>0.1792</v>
      </c>
    </row>
    <row r="3955" spans="3:12">
      <c r="C3955" s="161">
        <f t="shared" si="234"/>
        <v>2016</v>
      </c>
      <c r="D3955" s="35" t="s">
        <v>319</v>
      </c>
      <c r="E3955" s="227">
        <v>42552</v>
      </c>
      <c r="F3955" s="156">
        <v>69029.88</v>
      </c>
      <c r="G3955" s="131">
        <f t="shared" si="235"/>
        <v>12370.154496000001</v>
      </c>
      <c r="H3955" s="156">
        <v>52.88</v>
      </c>
      <c r="I3955" s="156">
        <v>0</v>
      </c>
      <c r="J3955" s="156">
        <v>0</v>
      </c>
      <c r="K3955" s="131">
        <f t="shared" si="236"/>
        <v>52.88</v>
      </c>
      <c r="L3955" s="134">
        <v>0.1792</v>
      </c>
    </row>
    <row r="3956" spans="3:12">
      <c r="C3956" s="161">
        <f t="shared" si="234"/>
        <v>2016</v>
      </c>
      <c r="D3956" s="35" t="s">
        <v>319</v>
      </c>
      <c r="E3956" s="227">
        <v>42583</v>
      </c>
      <c r="F3956" s="156">
        <v>72030.98</v>
      </c>
      <c r="G3956" s="131">
        <f t="shared" si="235"/>
        <v>12907.951615999998</v>
      </c>
      <c r="H3956" s="156">
        <v>317.82</v>
      </c>
      <c r="I3956" s="156">
        <v>0</v>
      </c>
      <c r="J3956" s="156">
        <v>3980</v>
      </c>
      <c r="K3956" s="131">
        <f t="shared" si="236"/>
        <v>4297.82</v>
      </c>
      <c r="L3956" s="134">
        <v>0.1792</v>
      </c>
    </row>
    <row r="3957" spans="3:12">
      <c r="C3957" s="161">
        <f t="shared" si="234"/>
        <v>2016</v>
      </c>
      <c r="D3957" s="35" t="s">
        <v>319</v>
      </c>
      <c r="E3957" s="227">
        <v>42614</v>
      </c>
      <c r="F3957" s="156">
        <v>71827.179999999993</v>
      </c>
      <c r="G3957" s="131">
        <f t="shared" si="235"/>
        <v>12871.430655999999</v>
      </c>
      <c r="H3957" s="156">
        <v>90.2</v>
      </c>
      <c r="I3957" s="156">
        <v>1442.31</v>
      </c>
      <c r="J3957" s="156">
        <v>0</v>
      </c>
      <c r="K3957" s="131">
        <f t="shared" si="236"/>
        <v>1532.51</v>
      </c>
      <c r="L3957" s="134">
        <v>0.1792</v>
      </c>
    </row>
    <row r="3958" spans="3:12">
      <c r="C3958" s="161">
        <f t="shared" si="234"/>
        <v>2016</v>
      </c>
      <c r="D3958" s="35" t="s">
        <v>319</v>
      </c>
      <c r="E3958" s="227">
        <v>42644</v>
      </c>
      <c r="F3958" s="156">
        <v>77247.009999999995</v>
      </c>
      <c r="G3958" s="131">
        <f t="shared" si="235"/>
        <v>13842.664191999998</v>
      </c>
      <c r="H3958" s="156">
        <v>160.26</v>
      </c>
      <c r="I3958" s="156">
        <v>0</v>
      </c>
      <c r="J3958" s="156">
        <v>0</v>
      </c>
      <c r="K3958" s="131">
        <f t="shared" si="236"/>
        <v>160.26</v>
      </c>
      <c r="L3958" s="134">
        <v>0.1792</v>
      </c>
    </row>
    <row r="3959" spans="3:12">
      <c r="C3959" s="161">
        <f t="shared" si="234"/>
        <v>2016</v>
      </c>
      <c r="D3959" s="35" t="s">
        <v>319</v>
      </c>
      <c r="E3959" s="227">
        <v>42675</v>
      </c>
      <c r="F3959" s="156">
        <v>81379.710000000006</v>
      </c>
      <c r="G3959" s="131">
        <f t="shared" si="235"/>
        <v>14583.244032000001</v>
      </c>
      <c r="H3959" s="156">
        <v>134.58000000000001</v>
      </c>
      <c r="I3959" s="156">
        <v>0</v>
      </c>
      <c r="J3959" s="156">
        <v>0</v>
      </c>
      <c r="K3959" s="131">
        <f t="shared" si="236"/>
        <v>134.58000000000001</v>
      </c>
      <c r="L3959" s="134">
        <v>0.1792</v>
      </c>
    </row>
    <row r="3960" spans="3:12">
      <c r="C3960" s="161">
        <f t="shared" si="234"/>
        <v>2016</v>
      </c>
      <c r="D3960" s="35" t="s">
        <v>319</v>
      </c>
      <c r="E3960" s="227">
        <v>42705</v>
      </c>
      <c r="F3960" s="156">
        <v>72428.73</v>
      </c>
      <c r="G3960" s="131">
        <f t="shared" si="235"/>
        <v>12979.228416</v>
      </c>
      <c r="H3960" s="156">
        <v>448.6</v>
      </c>
      <c r="I3960" s="156">
        <v>4203.18</v>
      </c>
      <c r="J3960" s="156">
        <v>0</v>
      </c>
      <c r="K3960" s="131">
        <f t="shared" si="236"/>
        <v>4651.7800000000007</v>
      </c>
      <c r="L3960" s="134">
        <v>0.1792</v>
      </c>
    </row>
    <row r="3961" spans="3:12">
      <c r="C3961" s="161">
        <f t="shared" si="234"/>
        <v>2017</v>
      </c>
      <c r="D3961" s="35" t="s">
        <v>319</v>
      </c>
      <c r="E3961" s="227">
        <v>42736</v>
      </c>
      <c r="F3961" s="156">
        <v>71667.37</v>
      </c>
      <c r="G3961" s="131">
        <f t="shared" si="235"/>
        <v>12842.792704</v>
      </c>
      <c r="H3961" s="156">
        <v>1087.6300000000001</v>
      </c>
      <c r="I3961" s="156">
        <v>0</v>
      </c>
      <c r="J3961" s="156">
        <v>0</v>
      </c>
      <c r="K3961" s="131">
        <f t="shared" si="236"/>
        <v>1087.6300000000001</v>
      </c>
      <c r="L3961" s="134">
        <v>0.1792</v>
      </c>
    </row>
    <row r="3962" spans="3:12">
      <c r="C3962" s="161">
        <f t="shared" si="234"/>
        <v>2017</v>
      </c>
      <c r="D3962" s="35" t="s">
        <v>319</v>
      </c>
      <c r="E3962" s="227">
        <v>42767</v>
      </c>
      <c r="F3962" s="156">
        <v>74350.759999999995</v>
      </c>
      <c r="G3962" s="131">
        <f t="shared" si="235"/>
        <v>13323.656191999999</v>
      </c>
      <c r="H3962" s="156">
        <v>2063.58</v>
      </c>
      <c r="I3962" s="156">
        <v>7020.02</v>
      </c>
      <c r="J3962" s="156">
        <v>610</v>
      </c>
      <c r="K3962" s="131">
        <f t="shared" si="236"/>
        <v>9693.6</v>
      </c>
      <c r="L3962" s="134">
        <v>0.1792</v>
      </c>
    </row>
    <row r="3963" spans="3:12">
      <c r="C3963" s="161">
        <f t="shared" si="234"/>
        <v>2017</v>
      </c>
      <c r="D3963" s="35" t="s">
        <v>319</v>
      </c>
      <c r="E3963" s="227">
        <v>42795</v>
      </c>
      <c r="F3963" s="156">
        <v>64985.16</v>
      </c>
      <c r="G3963" s="131">
        <f t="shared" si="235"/>
        <v>11645.340672</v>
      </c>
      <c r="H3963" s="156">
        <v>1182.27</v>
      </c>
      <c r="I3963" s="156">
        <v>2886.66</v>
      </c>
      <c r="J3963" s="156">
        <v>450.2</v>
      </c>
      <c r="K3963" s="131">
        <f t="shared" si="236"/>
        <v>4519.13</v>
      </c>
      <c r="L3963" s="134">
        <v>0.1792</v>
      </c>
    </row>
    <row r="3964" spans="3:12">
      <c r="C3964" s="161">
        <f t="shared" si="234"/>
        <v>2017</v>
      </c>
      <c r="D3964" s="35" t="s">
        <v>319</v>
      </c>
      <c r="E3964" s="227">
        <v>42826</v>
      </c>
      <c r="F3964" s="156">
        <v>72527.259999999995</v>
      </c>
      <c r="G3964" s="131">
        <f t="shared" si="235"/>
        <v>12996.884991999999</v>
      </c>
      <c r="H3964" s="156">
        <v>470.36</v>
      </c>
      <c r="I3964" s="156">
        <v>0</v>
      </c>
      <c r="J3964" s="156">
        <v>0</v>
      </c>
      <c r="K3964" s="131">
        <f t="shared" si="236"/>
        <v>470.36</v>
      </c>
      <c r="L3964" s="134">
        <v>0.1792</v>
      </c>
    </row>
    <row r="3965" spans="3:12">
      <c r="C3965" s="161">
        <f t="shared" si="234"/>
        <v>2017</v>
      </c>
      <c r="D3965" s="35" t="s">
        <v>319</v>
      </c>
      <c r="E3965" s="227">
        <v>42856</v>
      </c>
      <c r="F3965" s="156">
        <v>66111.360000000001</v>
      </c>
      <c r="G3965" s="131">
        <f t="shared" si="235"/>
        <v>11847.155712</v>
      </c>
      <c r="H3965" s="156">
        <v>155.72</v>
      </c>
      <c r="I3965" s="156">
        <v>0</v>
      </c>
      <c r="J3965" s="156">
        <v>0</v>
      </c>
      <c r="K3965" s="131">
        <f t="shared" si="236"/>
        <v>155.72</v>
      </c>
      <c r="L3965" s="134">
        <v>0.1792</v>
      </c>
    </row>
    <row r="3966" spans="3:12">
      <c r="C3966" s="161">
        <f t="shared" si="234"/>
        <v>2017</v>
      </c>
      <c r="D3966" s="35" t="s">
        <v>319</v>
      </c>
      <c r="E3966" s="227">
        <v>42887</v>
      </c>
      <c r="F3966" s="156">
        <v>67195.63</v>
      </c>
      <c r="G3966" s="131">
        <f t="shared" si="235"/>
        <v>12041.456896000002</v>
      </c>
      <c r="H3966" s="156">
        <v>0</v>
      </c>
      <c r="I3966" s="156">
        <v>1829.26</v>
      </c>
      <c r="J3966" s="156">
        <v>0</v>
      </c>
      <c r="K3966" s="131">
        <f t="shared" si="236"/>
        <v>1829.26</v>
      </c>
      <c r="L3966" s="134">
        <v>0.1792</v>
      </c>
    </row>
    <row r="3967" spans="3:12">
      <c r="C3967" s="161">
        <f t="shared" si="234"/>
        <v>2017</v>
      </c>
      <c r="D3967" s="35" t="s">
        <v>319</v>
      </c>
      <c r="E3967" s="227">
        <v>42917</v>
      </c>
      <c r="F3967" s="156">
        <v>66975.429999999993</v>
      </c>
      <c r="G3967" s="131">
        <f t="shared" si="235"/>
        <v>12001.997055999998</v>
      </c>
      <c r="H3967" s="156">
        <v>0</v>
      </c>
      <c r="I3967" s="156">
        <v>0</v>
      </c>
      <c r="J3967" s="156">
        <v>0</v>
      </c>
      <c r="K3967" s="131">
        <f t="shared" si="236"/>
        <v>0</v>
      </c>
      <c r="L3967" s="134">
        <v>0.1792</v>
      </c>
    </row>
    <row r="3968" spans="3:12">
      <c r="C3968" s="161">
        <f t="shared" si="234"/>
        <v>2017</v>
      </c>
      <c r="D3968" s="35" t="s">
        <v>319</v>
      </c>
      <c r="E3968" s="227">
        <v>42948</v>
      </c>
      <c r="F3968" s="156">
        <v>83388.2</v>
      </c>
      <c r="G3968" s="131">
        <f t="shared" si="235"/>
        <v>14943.165439999999</v>
      </c>
      <c r="H3968" s="156">
        <v>975.22</v>
      </c>
      <c r="I3968" s="156">
        <v>3000.48</v>
      </c>
      <c r="J3968" s="156">
        <v>0</v>
      </c>
      <c r="K3968" s="131">
        <f t="shared" si="236"/>
        <v>3975.7</v>
      </c>
      <c r="L3968" s="134">
        <v>0.1792</v>
      </c>
    </row>
    <row r="3969" spans="3:12">
      <c r="C3969" s="161">
        <f t="shared" si="234"/>
        <v>2017</v>
      </c>
      <c r="D3969" s="35" t="s">
        <v>319</v>
      </c>
      <c r="E3969" s="227">
        <v>42979</v>
      </c>
      <c r="F3969" s="156">
        <v>89462.38</v>
      </c>
      <c r="G3969" s="131">
        <f t="shared" si="235"/>
        <v>16031.658496</v>
      </c>
      <c r="H3969" s="156">
        <v>53.89</v>
      </c>
      <c r="I3969" s="156">
        <v>918.85</v>
      </c>
      <c r="J3969" s="156">
        <v>119406</v>
      </c>
      <c r="K3969" s="131">
        <f t="shared" si="236"/>
        <v>120378.74</v>
      </c>
      <c r="L3969" s="134">
        <v>0.1792</v>
      </c>
    </row>
    <row r="3970" spans="3:12">
      <c r="C3970" s="161">
        <f t="shared" si="234"/>
        <v>2017</v>
      </c>
      <c r="D3970" s="35" t="s">
        <v>319</v>
      </c>
      <c r="E3970" s="227">
        <v>43009</v>
      </c>
      <c r="F3970" s="156">
        <v>80993.399999999994</v>
      </c>
      <c r="G3970" s="131">
        <f t="shared" si="235"/>
        <v>14514.017279999998</v>
      </c>
      <c r="H3970" s="156">
        <v>126.06</v>
      </c>
      <c r="I3970" s="156">
        <v>853.92</v>
      </c>
      <c r="J3970" s="156">
        <v>0</v>
      </c>
      <c r="K3970" s="131">
        <f t="shared" si="236"/>
        <v>979.98</v>
      </c>
      <c r="L3970" s="134">
        <v>0.1792</v>
      </c>
    </row>
    <row r="3971" spans="3:12">
      <c r="C3971" s="161">
        <f t="shared" si="234"/>
        <v>2017</v>
      </c>
      <c r="D3971" s="35" t="s">
        <v>319</v>
      </c>
      <c r="E3971" s="227">
        <v>43040</v>
      </c>
      <c r="F3971" s="156">
        <v>81832</v>
      </c>
      <c r="G3971" s="131">
        <f t="shared" si="235"/>
        <v>14664.294400000001</v>
      </c>
      <c r="H3971" s="156">
        <v>0</v>
      </c>
      <c r="I3971" s="156">
        <v>0</v>
      </c>
      <c r="J3971" s="156">
        <v>0</v>
      </c>
      <c r="K3971" s="131">
        <f t="shared" si="236"/>
        <v>0</v>
      </c>
      <c r="L3971" s="134">
        <v>0.1792</v>
      </c>
    </row>
    <row r="3972" spans="3:12">
      <c r="C3972" s="161">
        <f t="shared" ref="C3972:C4035" si="237">YEAR(E3972)</f>
        <v>2017</v>
      </c>
      <c r="D3972" s="35" t="s">
        <v>319</v>
      </c>
      <c r="E3972" s="227">
        <v>43070</v>
      </c>
      <c r="F3972" s="156">
        <v>82661.52</v>
      </c>
      <c r="G3972" s="131">
        <f t="shared" ref="G3972:G4035" si="238">F3972*L3972</f>
        <v>14812.944384</v>
      </c>
      <c r="H3972" s="156">
        <v>107.79</v>
      </c>
      <c r="I3972" s="156">
        <v>0</v>
      </c>
      <c r="J3972" s="156">
        <v>0</v>
      </c>
      <c r="K3972" s="131">
        <f t="shared" ref="K3972:K4035" si="239">SUM(H3972:J3972)</f>
        <v>107.79</v>
      </c>
      <c r="L3972" s="134">
        <v>0.1792</v>
      </c>
    </row>
    <row r="3973" spans="3:12">
      <c r="C3973" s="161">
        <f t="shared" si="237"/>
        <v>2018</v>
      </c>
      <c r="D3973" s="35" t="s">
        <v>319</v>
      </c>
      <c r="E3973" s="227">
        <v>43101</v>
      </c>
      <c r="F3973" s="156">
        <v>74496.53</v>
      </c>
      <c r="G3973" s="131">
        <f t="shared" si="238"/>
        <v>13349.778176</v>
      </c>
      <c r="H3973" s="156">
        <v>188.24</v>
      </c>
      <c r="I3973" s="156">
        <v>2568.9</v>
      </c>
      <c r="J3973" s="156">
        <v>0</v>
      </c>
      <c r="K3973" s="131">
        <f t="shared" si="239"/>
        <v>2757.1400000000003</v>
      </c>
      <c r="L3973" s="134">
        <v>0.1792</v>
      </c>
    </row>
    <row r="3974" spans="3:12">
      <c r="C3974" s="161">
        <f t="shared" si="237"/>
        <v>2018</v>
      </c>
      <c r="D3974" s="35" t="s">
        <v>319</v>
      </c>
      <c r="E3974" s="227">
        <v>43132</v>
      </c>
      <c r="F3974" s="156">
        <v>78368.320000000007</v>
      </c>
      <c r="G3974" s="131">
        <f t="shared" si="238"/>
        <v>14043.602944</v>
      </c>
      <c r="H3974" s="156">
        <v>280.74</v>
      </c>
      <c r="I3974" s="156">
        <v>0</v>
      </c>
      <c r="J3974" s="156">
        <v>0</v>
      </c>
      <c r="K3974" s="131">
        <f t="shared" si="239"/>
        <v>280.74</v>
      </c>
      <c r="L3974" s="134">
        <v>0.1792</v>
      </c>
    </row>
    <row r="3975" spans="3:12">
      <c r="C3975" s="161">
        <f t="shared" si="237"/>
        <v>2018</v>
      </c>
      <c r="D3975" s="35" t="s">
        <v>319</v>
      </c>
      <c r="E3975" s="227">
        <v>43160</v>
      </c>
      <c r="F3975" s="156">
        <v>75056.41</v>
      </c>
      <c r="G3975" s="131">
        <f t="shared" si="238"/>
        <v>13450.108672</v>
      </c>
      <c r="H3975" s="156">
        <v>0</v>
      </c>
      <c r="I3975" s="156">
        <v>0</v>
      </c>
      <c r="J3975" s="156">
        <v>0</v>
      </c>
      <c r="K3975" s="131">
        <f t="shared" si="239"/>
        <v>0</v>
      </c>
      <c r="L3975" s="134">
        <v>0.1792</v>
      </c>
    </row>
    <row r="3976" spans="3:12">
      <c r="C3976" s="161">
        <f t="shared" si="237"/>
        <v>2018</v>
      </c>
      <c r="D3976" s="35" t="s">
        <v>319</v>
      </c>
      <c r="E3976" s="227">
        <v>43191</v>
      </c>
      <c r="F3976" s="156">
        <v>81087.820000000007</v>
      </c>
      <c r="G3976" s="131">
        <f t="shared" si="238"/>
        <v>14530.937344000002</v>
      </c>
      <c r="H3976" s="156">
        <v>315</v>
      </c>
      <c r="I3976" s="156">
        <v>2391</v>
      </c>
      <c r="J3976" s="156">
        <v>0</v>
      </c>
      <c r="K3976" s="131">
        <f t="shared" si="239"/>
        <v>2706</v>
      </c>
      <c r="L3976" s="134">
        <v>0.1792</v>
      </c>
    </row>
    <row r="3977" spans="3:12">
      <c r="C3977" s="161">
        <f t="shared" si="237"/>
        <v>2018</v>
      </c>
      <c r="D3977" s="35" t="s">
        <v>319</v>
      </c>
      <c r="E3977" s="227">
        <v>43221</v>
      </c>
      <c r="F3977" s="156">
        <v>80988.67</v>
      </c>
      <c r="G3977" s="131">
        <f t="shared" si="238"/>
        <v>14513.169663999999</v>
      </c>
      <c r="H3977" s="156">
        <v>324.91000000000003</v>
      </c>
      <c r="I3977" s="156">
        <v>0</v>
      </c>
      <c r="J3977" s="156">
        <v>0</v>
      </c>
      <c r="K3977" s="131">
        <f t="shared" si="239"/>
        <v>324.91000000000003</v>
      </c>
      <c r="L3977" s="134">
        <v>0.1792</v>
      </c>
    </row>
    <row r="3978" spans="3:12">
      <c r="C3978" s="161">
        <f t="shared" si="237"/>
        <v>2018</v>
      </c>
      <c r="D3978" s="35" t="s">
        <v>319</v>
      </c>
      <c r="E3978" s="227">
        <v>43252</v>
      </c>
      <c r="F3978" s="156">
        <v>77808.149999999994</v>
      </c>
      <c r="G3978" s="131">
        <f t="shared" si="238"/>
        <v>13943.220479999998</v>
      </c>
      <c r="H3978" s="156">
        <v>102.21</v>
      </c>
      <c r="I3978" s="156">
        <v>83170.23</v>
      </c>
      <c r="J3978" s="156">
        <v>0</v>
      </c>
      <c r="K3978" s="131">
        <f t="shared" si="239"/>
        <v>83272.44</v>
      </c>
      <c r="L3978" s="134">
        <v>0.1792</v>
      </c>
    </row>
    <row r="3979" spans="3:12">
      <c r="C3979" s="161">
        <f t="shared" si="237"/>
        <v>2018</v>
      </c>
      <c r="D3979" s="35" t="s">
        <v>319</v>
      </c>
      <c r="E3979" s="227">
        <v>43282</v>
      </c>
      <c r="F3979" s="156">
        <v>82497.78</v>
      </c>
      <c r="G3979" s="131">
        <f t="shared" si="238"/>
        <v>14783.602176</v>
      </c>
      <c r="H3979" s="156">
        <v>436.37</v>
      </c>
      <c r="I3979" s="156">
        <v>124419.75</v>
      </c>
      <c r="J3979" s="156">
        <v>0</v>
      </c>
      <c r="K3979" s="131">
        <f t="shared" si="239"/>
        <v>124856.12</v>
      </c>
      <c r="L3979" s="134">
        <v>0.1792</v>
      </c>
    </row>
    <row r="3980" spans="3:12">
      <c r="C3980" s="161">
        <f t="shared" si="237"/>
        <v>2018</v>
      </c>
      <c r="D3980" s="35" t="s">
        <v>319</v>
      </c>
      <c r="E3980" s="227">
        <v>43313</v>
      </c>
      <c r="F3980" s="156">
        <v>78575.23</v>
      </c>
      <c r="G3980" s="131">
        <f t="shared" si="238"/>
        <v>14080.681215999999</v>
      </c>
      <c r="H3980" s="156">
        <v>90.47</v>
      </c>
      <c r="I3980" s="156">
        <v>1771.06</v>
      </c>
      <c r="J3980" s="156">
        <v>666.66</v>
      </c>
      <c r="K3980" s="131">
        <f t="shared" si="239"/>
        <v>2528.19</v>
      </c>
      <c r="L3980" s="134">
        <v>0.1792</v>
      </c>
    </row>
    <row r="3981" spans="3:12">
      <c r="C3981" s="161">
        <f t="shared" si="237"/>
        <v>2018</v>
      </c>
      <c r="D3981" s="35" t="s">
        <v>319</v>
      </c>
      <c r="E3981" s="227">
        <v>43344</v>
      </c>
      <c r="F3981" s="156">
        <v>81696.89</v>
      </c>
      <c r="G3981" s="131">
        <f t="shared" si="238"/>
        <v>14640.082688</v>
      </c>
      <c r="H3981" s="156">
        <v>136.16</v>
      </c>
      <c r="I3981" s="156">
        <v>20904.79</v>
      </c>
      <c r="J3981" s="156">
        <v>0</v>
      </c>
      <c r="K3981" s="131">
        <f t="shared" si="239"/>
        <v>21040.95</v>
      </c>
      <c r="L3981" s="134">
        <v>0.1792</v>
      </c>
    </row>
    <row r="3982" spans="3:12">
      <c r="C3982" s="161">
        <f t="shared" si="237"/>
        <v>2018</v>
      </c>
      <c r="D3982" s="35" t="s">
        <v>319</v>
      </c>
      <c r="E3982" s="227">
        <v>43374</v>
      </c>
      <c r="F3982" s="156">
        <v>85820.09</v>
      </c>
      <c r="G3982" s="131">
        <f t="shared" si="238"/>
        <v>15378.960127999999</v>
      </c>
      <c r="H3982" s="156">
        <v>344.13</v>
      </c>
      <c r="I3982" s="156">
        <v>2339.75</v>
      </c>
      <c r="J3982" s="156">
        <v>0</v>
      </c>
      <c r="K3982" s="131">
        <f t="shared" si="239"/>
        <v>2683.88</v>
      </c>
      <c r="L3982" s="134">
        <v>0.1792</v>
      </c>
    </row>
    <row r="3983" spans="3:12">
      <c r="C3983" s="161">
        <f t="shared" si="237"/>
        <v>2018</v>
      </c>
      <c r="D3983" s="35" t="s">
        <v>319</v>
      </c>
      <c r="E3983" s="227">
        <v>43405</v>
      </c>
      <c r="F3983" s="156">
        <v>88333.418250000002</v>
      </c>
      <c r="G3983" s="131">
        <f t="shared" si="238"/>
        <v>15829.3485504</v>
      </c>
      <c r="H3983" s="156">
        <v>154.43</v>
      </c>
      <c r="I3983" s="156">
        <v>25323.82</v>
      </c>
      <c r="J3983" s="156">
        <v>812.51</v>
      </c>
      <c r="K3983" s="131">
        <f t="shared" si="239"/>
        <v>26290.76</v>
      </c>
      <c r="L3983" s="134">
        <v>0.1792</v>
      </c>
    </row>
    <row r="3984" spans="3:12">
      <c r="C3984" s="161">
        <f t="shared" si="237"/>
        <v>2018</v>
      </c>
      <c r="D3984" s="35" t="s">
        <v>319</v>
      </c>
      <c r="E3984" s="227">
        <v>43435</v>
      </c>
      <c r="F3984" s="156">
        <v>93620.89</v>
      </c>
      <c r="G3984" s="131">
        <f t="shared" si="238"/>
        <v>16776.863487999999</v>
      </c>
      <c r="H3984" s="156">
        <v>211.51</v>
      </c>
      <c r="I3984" s="156">
        <v>0</v>
      </c>
      <c r="J3984" s="156">
        <v>0</v>
      </c>
      <c r="K3984" s="131">
        <f t="shared" si="239"/>
        <v>211.51</v>
      </c>
      <c r="L3984" s="134">
        <v>0.1792</v>
      </c>
    </row>
    <row r="3985" spans="3:12">
      <c r="C3985" s="161">
        <f t="shared" si="237"/>
        <v>2019</v>
      </c>
      <c r="D3985" s="35" t="s">
        <v>319</v>
      </c>
      <c r="E3985" s="227">
        <v>43466</v>
      </c>
      <c r="F3985" s="156">
        <v>93336.75</v>
      </c>
      <c r="G3985" s="131">
        <f t="shared" si="238"/>
        <v>16725.945599999999</v>
      </c>
      <c r="H3985" s="156">
        <v>293.39999999999998</v>
      </c>
      <c r="I3985" s="156">
        <v>4130.05</v>
      </c>
      <c r="J3985" s="156">
        <v>0</v>
      </c>
      <c r="K3985" s="131">
        <f t="shared" si="239"/>
        <v>4423.45</v>
      </c>
      <c r="L3985" s="134">
        <v>0.1792</v>
      </c>
    </row>
    <row r="3986" spans="3:12">
      <c r="C3986" s="161">
        <f t="shared" si="237"/>
        <v>2019</v>
      </c>
      <c r="D3986" s="35" t="s">
        <v>319</v>
      </c>
      <c r="E3986" s="227">
        <v>43497</v>
      </c>
      <c r="F3986" s="156">
        <v>90800.12</v>
      </c>
      <c r="G3986" s="131">
        <f t="shared" si="238"/>
        <v>16271.381503999999</v>
      </c>
      <c r="H3986" s="156">
        <v>146.69999999999999</v>
      </c>
      <c r="I3986" s="156">
        <v>0</v>
      </c>
      <c r="J3986" s="156">
        <v>0</v>
      </c>
      <c r="K3986" s="131">
        <f t="shared" si="239"/>
        <v>146.69999999999999</v>
      </c>
      <c r="L3986" s="134">
        <v>0.1792</v>
      </c>
    </row>
    <row r="3987" spans="3:12">
      <c r="C3987" s="161">
        <f t="shared" si="237"/>
        <v>2019</v>
      </c>
      <c r="D3987" s="35" t="s">
        <v>319</v>
      </c>
      <c r="E3987" s="227">
        <v>43525</v>
      </c>
      <c r="F3987" s="156">
        <v>76224.98</v>
      </c>
      <c r="G3987" s="131">
        <f t="shared" si="238"/>
        <v>13659.516415999999</v>
      </c>
      <c r="H3987" s="156">
        <v>333.72</v>
      </c>
      <c r="I3987" s="156">
        <v>4105.8</v>
      </c>
      <c r="J3987" s="156">
        <v>0</v>
      </c>
      <c r="K3987" s="131">
        <f t="shared" si="239"/>
        <v>4439.5200000000004</v>
      </c>
      <c r="L3987" s="134">
        <v>0.1792</v>
      </c>
    </row>
    <row r="3988" spans="3:12">
      <c r="C3988" s="161">
        <f t="shared" si="237"/>
        <v>2019</v>
      </c>
      <c r="D3988" s="35" t="s">
        <v>319</v>
      </c>
      <c r="E3988" s="227">
        <v>43556</v>
      </c>
      <c r="F3988" s="156">
        <v>89349.67</v>
      </c>
      <c r="G3988" s="131">
        <f t="shared" si="238"/>
        <v>16011.460863999999</v>
      </c>
      <c r="H3988" s="156">
        <v>692.99</v>
      </c>
      <c r="I3988" s="156">
        <v>0</v>
      </c>
      <c r="J3988" s="156">
        <v>0</v>
      </c>
      <c r="K3988" s="131">
        <f t="shared" si="239"/>
        <v>692.99</v>
      </c>
      <c r="L3988" s="134">
        <v>0.1792</v>
      </c>
    </row>
    <row r="3989" spans="3:12">
      <c r="C3989" s="161">
        <f t="shared" si="237"/>
        <v>2019</v>
      </c>
      <c r="D3989" s="35" t="s">
        <v>319</v>
      </c>
      <c r="E3989" s="227">
        <v>43586</v>
      </c>
      <c r="F3989" s="156">
        <v>81039.5</v>
      </c>
      <c r="G3989" s="131">
        <f t="shared" si="238"/>
        <v>14522.278399999999</v>
      </c>
      <c r="H3989" s="156">
        <v>348.84</v>
      </c>
      <c r="I3989" s="156">
        <v>0</v>
      </c>
      <c r="J3989" s="156">
        <v>0</v>
      </c>
      <c r="K3989" s="131">
        <f t="shared" si="239"/>
        <v>348.84</v>
      </c>
      <c r="L3989" s="134">
        <v>0.1792</v>
      </c>
    </row>
    <row r="3990" spans="3:12">
      <c r="C3990" s="161">
        <f t="shared" si="237"/>
        <v>2019</v>
      </c>
      <c r="D3990" s="35" t="s">
        <v>319</v>
      </c>
      <c r="E3990" s="227">
        <v>43617</v>
      </c>
      <c r="F3990" s="156">
        <v>86636.57</v>
      </c>
      <c r="G3990" s="131">
        <f t="shared" si="238"/>
        <v>15525.273344000001</v>
      </c>
      <c r="H3990" s="156">
        <v>2657.67</v>
      </c>
      <c r="I3990" s="156">
        <v>62333.42</v>
      </c>
      <c r="J3990" s="156">
        <v>0</v>
      </c>
      <c r="K3990" s="131">
        <f t="shared" si="239"/>
        <v>64991.09</v>
      </c>
      <c r="L3990" s="134">
        <v>0.1792</v>
      </c>
    </row>
    <row r="3991" spans="3:12">
      <c r="C3991" s="161">
        <f t="shared" si="237"/>
        <v>2019</v>
      </c>
      <c r="D3991" s="35" t="s">
        <v>319</v>
      </c>
      <c r="E3991" s="227">
        <v>43647</v>
      </c>
      <c r="F3991" s="156">
        <v>81156.63</v>
      </c>
      <c r="G3991" s="131">
        <f t="shared" si="238"/>
        <v>14543.268096</v>
      </c>
      <c r="H3991" s="156">
        <v>2616.88</v>
      </c>
      <c r="I3991" s="156">
        <v>6880.52</v>
      </c>
      <c r="J3991" s="156">
        <v>0</v>
      </c>
      <c r="K3991" s="131">
        <f t="shared" si="239"/>
        <v>9497.4000000000015</v>
      </c>
      <c r="L3991" s="134">
        <v>0.1792</v>
      </c>
    </row>
    <row r="3992" spans="3:12">
      <c r="C3992" s="161">
        <f t="shared" si="237"/>
        <v>2019</v>
      </c>
      <c r="D3992" s="35" t="s">
        <v>319</v>
      </c>
      <c r="E3992" s="227">
        <v>43678</v>
      </c>
      <c r="F3992" s="156">
        <v>86921.13</v>
      </c>
      <c r="G3992" s="131">
        <f t="shared" si="238"/>
        <v>15576.266496</v>
      </c>
      <c r="H3992" s="156">
        <v>59.14</v>
      </c>
      <c r="I3992" s="156">
        <v>19754.32</v>
      </c>
      <c r="J3992" s="156">
        <v>0</v>
      </c>
      <c r="K3992" s="131">
        <f t="shared" si="239"/>
        <v>19813.46</v>
      </c>
      <c r="L3992" s="134">
        <v>0.1792</v>
      </c>
    </row>
    <row r="3993" spans="3:12">
      <c r="C3993" s="161">
        <f t="shared" si="237"/>
        <v>2019</v>
      </c>
      <c r="D3993" s="35" t="s">
        <v>319</v>
      </c>
      <c r="E3993" s="227">
        <v>43709</v>
      </c>
      <c r="F3993" s="156">
        <v>104687.26</v>
      </c>
      <c r="G3993" s="131">
        <f t="shared" si="238"/>
        <v>18759.956991999999</v>
      </c>
      <c r="H3993" s="156">
        <v>4849.24</v>
      </c>
      <c r="I3993" s="156">
        <v>1641.38</v>
      </c>
      <c r="J3993" s="156">
        <v>0</v>
      </c>
      <c r="K3993" s="131">
        <f t="shared" si="239"/>
        <v>6490.62</v>
      </c>
      <c r="L3993" s="134">
        <v>0.1792</v>
      </c>
    </row>
    <row r="3994" spans="3:12">
      <c r="C3994" s="161">
        <f t="shared" si="237"/>
        <v>2019</v>
      </c>
      <c r="D3994" s="35" t="s">
        <v>319</v>
      </c>
      <c r="E3994" s="227">
        <v>43739</v>
      </c>
      <c r="F3994" s="156">
        <v>101402.24000000001</v>
      </c>
      <c r="G3994" s="131">
        <f t="shared" si="238"/>
        <v>18171.281408000003</v>
      </c>
      <c r="H3994" s="156">
        <v>1478.43</v>
      </c>
      <c r="I3994" s="156">
        <v>5679.32</v>
      </c>
      <c r="J3994" s="156">
        <v>0</v>
      </c>
      <c r="K3994" s="131">
        <f t="shared" si="239"/>
        <v>7157.75</v>
      </c>
      <c r="L3994" s="134">
        <v>0.1792</v>
      </c>
    </row>
    <row r="3995" spans="3:12">
      <c r="C3995" s="161">
        <f t="shared" si="237"/>
        <v>2019</v>
      </c>
      <c r="D3995" s="35" t="s">
        <v>319</v>
      </c>
      <c r="E3995" s="227">
        <v>43770</v>
      </c>
      <c r="F3995" s="156">
        <v>118915.96</v>
      </c>
      <c r="G3995" s="131">
        <f t="shared" si="238"/>
        <v>21309.740032000002</v>
      </c>
      <c r="H3995" s="156">
        <v>165191.21</v>
      </c>
      <c r="I3995" s="156">
        <v>2453.85</v>
      </c>
      <c r="J3995" s="156">
        <v>0</v>
      </c>
      <c r="K3995" s="131">
        <f t="shared" si="239"/>
        <v>167645.06</v>
      </c>
      <c r="L3995" s="134">
        <v>0.1792</v>
      </c>
    </row>
    <row r="3996" spans="3:12">
      <c r="C3996" s="161">
        <f t="shared" si="237"/>
        <v>2019</v>
      </c>
      <c r="D3996" s="35" t="s">
        <v>319</v>
      </c>
      <c r="E3996" s="227">
        <v>43800</v>
      </c>
      <c r="F3996" s="156">
        <v>110088.89</v>
      </c>
      <c r="G3996" s="131">
        <f t="shared" si="238"/>
        <v>19727.929088000001</v>
      </c>
      <c r="H3996" s="156">
        <v>3115.98</v>
      </c>
      <c r="I3996" s="156">
        <v>0</v>
      </c>
      <c r="J3996" s="156">
        <v>0</v>
      </c>
      <c r="K3996" s="131">
        <f t="shared" si="239"/>
        <v>3115.98</v>
      </c>
      <c r="L3996" s="134">
        <v>0.1792</v>
      </c>
    </row>
    <row r="3997" spans="3:12">
      <c r="C3997" s="161">
        <f t="shared" si="237"/>
        <v>2020</v>
      </c>
      <c r="D3997" s="35" t="s">
        <v>319</v>
      </c>
      <c r="E3997" s="227">
        <v>43831</v>
      </c>
      <c r="F3997" s="156">
        <v>111677.09</v>
      </c>
      <c r="G3997" s="131">
        <f t="shared" si="238"/>
        <v>20012.534528</v>
      </c>
      <c r="H3997" s="156">
        <v>9908.19</v>
      </c>
      <c r="I3997" s="156">
        <v>4619.24</v>
      </c>
      <c r="J3997" s="156">
        <v>0</v>
      </c>
      <c r="K3997" s="131">
        <f t="shared" si="239"/>
        <v>14527.43</v>
      </c>
      <c r="L3997" s="134">
        <v>0.1792</v>
      </c>
    </row>
    <row r="3998" spans="3:12">
      <c r="C3998" s="161">
        <f t="shared" si="237"/>
        <v>2020</v>
      </c>
      <c r="D3998" s="35" t="s">
        <v>319</v>
      </c>
      <c r="E3998" s="227">
        <v>43862</v>
      </c>
      <c r="F3998" s="156">
        <v>107586.13</v>
      </c>
      <c r="G3998" s="131">
        <f t="shared" si="238"/>
        <v>19279.434496000002</v>
      </c>
      <c r="H3998" s="156">
        <v>1193.76</v>
      </c>
      <c r="I3998" s="156">
        <v>3082.59</v>
      </c>
      <c r="J3998" s="156">
        <v>0</v>
      </c>
      <c r="K3998" s="131">
        <f t="shared" si="239"/>
        <v>4276.3500000000004</v>
      </c>
      <c r="L3998" s="134">
        <v>0.1792</v>
      </c>
    </row>
    <row r="3999" spans="3:12">
      <c r="C3999" s="161">
        <f t="shared" si="237"/>
        <v>2020</v>
      </c>
      <c r="D3999" s="35" t="s">
        <v>319</v>
      </c>
      <c r="E3999" s="227">
        <v>43891</v>
      </c>
      <c r="F3999" s="156">
        <v>105249.23639999999</v>
      </c>
      <c r="G3999" s="131">
        <f t="shared" si="238"/>
        <v>18860.663162879999</v>
      </c>
      <c r="H3999" s="156">
        <v>1878.97</v>
      </c>
      <c r="I3999" s="156">
        <v>0</v>
      </c>
      <c r="J3999" s="156">
        <v>0</v>
      </c>
      <c r="K3999" s="131">
        <f t="shared" si="239"/>
        <v>1878.97</v>
      </c>
      <c r="L3999" s="134">
        <v>0.1792</v>
      </c>
    </row>
    <row r="4000" spans="3:12">
      <c r="C4000" s="161">
        <f t="shared" si="237"/>
        <v>2020</v>
      </c>
      <c r="D4000" s="35" t="s">
        <v>319</v>
      </c>
      <c r="E4000" s="227">
        <v>43922</v>
      </c>
      <c r="F4000" s="156">
        <v>111398.120625</v>
      </c>
      <c r="G4000" s="131">
        <f t="shared" si="238"/>
        <v>19962.543215999998</v>
      </c>
      <c r="H4000" s="156">
        <v>417.82</v>
      </c>
      <c r="I4000" s="156">
        <v>881.1</v>
      </c>
      <c r="J4000" s="156">
        <v>0</v>
      </c>
      <c r="K4000" s="131">
        <f t="shared" si="239"/>
        <v>1298.92</v>
      </c>
      <c r="L4000" s="134">
        <v>0.1792</v>
      </c>
    </row>
    <row r="4001" spans="3:12">
      <c r="C4001" s="161">
        <f t="shared" si="237"/>
        <v>2020</v>
      </c>
      <c r="D4001" s="35" t="s">
        <v>319</v>
      </c>
      <c r="E4001" s="227">
        <v>43952</v>
      </c>
      <c r="F4001" s="156">
        <v>97987.36</v>
      </c>
      <c r="G4001" s="131">
        <f t="shared" si="238"/>
        <v>17559.334911999998</v>
      </c>
      <c r="H4001" s="156">
        <v>392.86</v>
      </c>
      <c r="I4001" s="156">
        <v>1311.03</v>
      </c>
      <c r="J4001" s="156">
        <v>0</v>
      </c>
      <c r="K4001" s="131">
        <f t="shared" si="239"/>
        <v>1703.8899999999999</v>
      </c>
      <c r="L4001" s="134">
        <v>0.1792</v>
      </c>
    </row>
    <row r="4002" spans="3:12">
      <c r="C4002" s="161">
        <f t="shared" si="237"/>
        <v>2020</v>
      </c>
      <c r="D4002" s="35" t="s">
        <v>319</v>
      </c>
      <c r="E4002" s="227">
        <v>43983</v>
      </c>
      <c r="F4002" s="156">
        <v>96679.32</v>
      </c>
      <c r="G4002" s="131">
        <f t="shared" si="238"/>
        <v>17324.934144000003</v>
      </c>
      <c r="H4002" s="156">
        <v>448.98</v>
      </c>
      <c r="I4002" s="156">
        <v>25035.42</v>
      </c>
      <c r="J4002" s="156">
        <v>0</v>
      </c>
      <c r="K4002" s="131">
        <f t="shared" si="239"/>
        <v>25484.399999999998</v>
      </c>
      <c r="L4002" s="134">
        <v>0.1792</v>
      </c>
    </row>
    <row r="4003" spans="3:12">
      <c r="C4003" s="161">
        <f t="shared" si="237"/>
        <v>2020</v>
      </c>
      <c r="D4003" s="35" t="s">
        <v>319</v>
      </c>
      <c r="E4003" s="227">
        <v>44013</v>
      </c>
      <c r="F4003" s="156">
        <v>94484.93</v>
      </c>
      <c r="G4003" s="131">
        <f t="shared" si="238"/>
        <v>16931.699455999998</v>
      </c>
      <c r="H4003" s="156">
        <v>336.73</v>
      </c>
      <c r="I4003" s="156">
        <v>787.31</v>
      </c>
      <c r="J4003" s="156">
        <v>0</v>
      </c>
      <c r="K4003" s="131">
        <f t="shared" si="239"/>
        <v>1124.04</v>
      </c>
      <c r="L4003" s="134">
        <v>0.1792</v>
      </c>
    </row>
    <row r="4004" spans="3:12">
      <c r="C4004" s="161">
        <f t="shared" si="237"/>
        <v>2020</v>
      </c>
      <c r="D4004" s="35" t="s">
        <v>319</v>
      </c>
      <c r="E4004" s="227">
        <v>44044</v>
      </c>
      <c r="F4004" s="156">
        <v>96350.35</v>
      </c>
      <c r="G4004" s="131">
        <f t="shared" si="238"/>
        <v>17265.98272</v>
      </c>
      <c r="H4004" s="156">
        <v>322.5</v>
      </c>
      <c r="I4004" s="156">
        <v>1187.94</v>
      </c>
      <c r="J4004" s="156">
        <v>0</v>
      </c>
      <c r="K4004" s="131">
        <f t="shared" si="239"/>
        <v>1510.44</v>
      </c>
      <c r="L4004" s="134">
        <v>0.1792</v>
      </c>
    </row>
    <row r="4005" spans="3:12">
      <c r="C4005" s="161">
        <f t="shared" si="237"/>
        <v>2020</v>
      </c>
      <c r="D4005" s="35" t="s">
        <v>319</v>
      </c>
      <c r="E4005" s="227">
        <v>44075</v>
      </c>
      <c r="F4005" s="156">
        <v>116597.93</v>
      </c>
      <c r="G4005" s="131">
        <f t="shared" si="238"/>
        <v>20894.349055999999</v>
      </c>
      <c r="H4005" s="156">
        <v>1546.57</v>
      </c>
      <c r="I4005" s="156">
        <v>0</v>
      </c>
      <c r="J4005" s="156">
        <v>0</v>
      </c>
      <c r="K4005" s="131">
        <f t="shared" si="239"/>
        <v>1546.57</v>
      </c>
      <c r="L4005" s="134">
        <v>0.1792</v>
      </c>
    </row>
    <row r="4006" spans="3:12">
      <c r="C4006" s="161">
        <f t="shared" si="237"/>
        <v>2020</v>
      </c>
      <c r="D4006" s="35" t="s">
        <v>319</v>
      </c>
      <c r="E4006" s="227">
        <v>44105</v>
      </c>
      <c r="F4006" s="156">
        <v>123149.42</v>
      </c>
      <c r="G4006" s="131">
        <f t="shared" si="238"/>
        <v>22068.376064</v>
      </c>
      <c r="H4006" s="156">
        <v>2816.09</v>
      </c>
      <c r="I4006" s="156">
        <v>1505.87</v>
      </c>
      <c r="J4006" s="156">
        <v>9720</v>
      </c>
      <c r="K4006" s="131">
        <f t="shared" si="239"/>
        <v>14041.96</v>
      </c>
      <c r="L4006" s="134">
        <v>0.1792</v>
      </c>
    </row>
    <row r="4007" spans="3:12">
      <c r="C4007" s="161">
        <f t="shared" si="237"/>
        <v>2020</v>
      </c>
      <c r="D4007" s="35" t="s">
        <v>319</v>
      </c>
      <c r="E4007" s="227">
        <v>44136</v>
      </c>
      <c r="F4007" s="156">
        <v>110571.68</v>
      </c>
      <c r="G4007" s="131">
        <f t="shared" si="238"/>
        <v>19814.445055999997</v>
      </c>
      <c r="H4007" s="156">
        <v>7262.98</v>
      </c>
      <c r="I4007" s="156">
        <v>1606.55</v>
      </c>
      <c r="J4007" s="156">
        <v>0</v>
      </c>
      <c r="K4007" s="131">
        <f t="shared" si="239"/>
        <v>8869.5299999999988</v>
      </c>
      <c r="L4007" s="134">
        <v>0.1792</v>
      </c>
    </row>
    <row r="4008" spans="3:12">
      <c r="C4008" s="161">
        <f t="shared" si="237"/>
        <v>2020</v>
      </c>
      <c r="D4008" s="35" t="s">
        <v>319</v>
      </c>
      <c r="E4008" s="227">
        <v>44166</v>
      </c>
      <c r="F4008" s="156">
        <v>110548.95</v>
      </c>
      <c r="G4008" s="131">
        <f t="shared" si="238"/>
        <v>19810.37184</v>
      </c>
      <c r="H4008" s="156">
        <v>283.43</v>
      </c>
      <c r="I4008" s="156">
        <v>1613.01</v>
      </c>
      <c r="J4008" s="156">
        <v>0</v>
      </c>
      <c r="K4008" s="131">
        <f t="shared" si="239"/>
        <v>1896.44</v>
      </c>
      <c r="L4008" s="134">
        <v>0.1792</v>
      </c>
    </row>
    <row r="4009" spans="3:12">
      <c r="C4009" s="161">
        <f t="shared" si="237"/>
        <v>2021</v>
      </c>
      <c r="D4009" s="35" t="s">
        <v>319</v>
      </c>
      <c r="E4009" s="227">
        <v>44197</v>
      </c>
      <c r="F4009" s="156">
        <v>114417.84</v>
      </c>
      <c r="G4009" s="131">
        <f t="shared" si="238"/>
        <v>20503.676928000001</v>
      </c>
      <c r="H4009" s="156">
        <v>356.48</v>
      </c>
      <c r="I4009" s="156">
        <v>2195.91</v>
      </c>
      <c r="J4009" s="156">
        <v>0</v>
      </c>
      <c r="K4009" s="131">
        <f t="shared" si="239"/>
        <v>2552.39</v>
      </c>
      <c r="L4009" s="134">
        <v>0.1792</v>
      </c>
    </row>
    <row r="4010" spans="3:12">
      <c r="C4010" s="161">
        <f t="shared" si="237"/>
        <v>2021</v>
      </c>
      <c r="D4010" s="35" t="s">
        <v>319</v>
      </c>
      <c r="E4010" s="227">
        <v>44229</v>
      </c>
      <c r="F4010" s="156">
        <v>108391.72</v>
      </c>
      <c r="G4010" s="131">
        <f t="shared" si="238"/>
        <v>19423.796224000002</v>
      </c>
      <c r="H4010" s="156">
        <v>123.35</v>
      </c>
      <c r="I4010" s="156">
        <v>1456.24</v>
      </c>
      <c r="J4010" s="156">
        <v>466.64</v>
      </c>
      <c r="K4010" s="131">
        <f t="shared" si="239"/>
        <v>2046.23</v>
      </c>
      <c r="L4010" s="134">
        <v>0.1792</v>
      </c>
    </row>
    <row r="4011" spans="3:12">
      <c r="C4011" s="161">
        <f t="shared" si="237"/>
        <v>2021</v>
      </c>
      <c r="D4011" s="35" t="s">
        <v>319</v>
      </c>
      <c r="E4011" s="227">
        <v>44258</v>
      </c>
      <c r="F4011" s="156">
        <v>107213.8</v>
      </c>
      <c r="G4011" s="131">
        <f t="shared" si="238"/>
        <v>19212.712960000001</v>
      </c>
      <c r="H4011" s="156">
        <v>908.05</v>
      </c>
      <c r="I4011" s="156">
        <v>3343.42</v>
      </c>
      <c r="J4011" s="156">
        <v>0</v>
      </c>
      <c r="K4011" s="131">
        <f t="shared" si="239"/>
        <v>4251.47</v>
      </c>
      <c r="L4011" s="134">
        <v>0.1792</v>
      </c>
    </row>
    <row r="4012" spans="3:12">
      <c r="C4012" s="161">
        <f t="shared" si="237"/>
        <v>2021</v>
      </c>
      <c r="D4012" s="35" t="s">
        <v>319</v>
      </c>
      <c r="E4012" s="227">
        <v>44290</v>
      </c>
      <c r="F4012" s="156">
        <v>125061.62</v>
      </c>
      <c r="G4012" s="131">
        <f t="shared" si="238"/>
        <v>22411.042303999999</v>
      </c>
      <c r="H4012" s="156">
        <v>485.03</v>
      </c>
      <c r="I4012" s="156">
        <v>267865.90999999997</v>
      </c>
      <c r="J4012" s="156">
        <v>0</v>
      </c>
      <c r="K4012" s="131">
        <f t="shared" si="239"/>
        <v>268350.94</v>
      </c>
      <c r="L4012" s="134">
        <v>0.1792</v>
      </c>
    </row>
    <row r="4013" spans="3:12">
      <c r="C4013" s="161">
        <f t="shared" si="237"/>
        <v>2021</v>
      </c>
      <c r="D4013" s="35" t="s">
        <v>319</v>
      </c>
      <c r="E4013" s="227">
        <v>44321</v>
      </c>
      <c r="F4013" s="156">
        <v>115727.16</v>
      </c>
      <c r="G4013" s="131">
        <f t="shared" si="238"/>
        <v>20738.307072</v>
      </c>
      <c r="H4013" s="156">
        <v>888.5</v>
      </c>
      <c r="I4013" s="156">
        <v>224992.02</v>
      </c>
      <c r="J4013" s="156">
        <v>0</v>
      </c>
      <c r="K4013" s="131">
        <f t="shared" si="239"/>
        <v>225880.52</v>
      </c>
      <c r="L4013" s="134">
        <v>0.1792</v>
      </c>
    </row>
    <row r="4014" spans="3:12">
      <c r="C4014" s="161">
        <f t="shared" si="237"/>
        <v>2021</v>
      </c>
      <c r="D4014" s="35" t="s">
        <v>319</v>
      </c>
      <c r="E4014" s="227">
        <v>44353</v>
      </c>
      <c r="F4014" s="156">
        <v>102304.08</v>
      </c>
      <c r="G4014" s="131">
        <f t="shared" si="238"/>
        <v>18332.891135999998</v>
      </c>
      <c r="H4014" s="156">
        <v>682.71</v>
      </c>
      <c r="I4014" s="156">
        <v>290188.17</v>
      </c>
      <c r="J4014" s="156">
        <v>0</v>
      </c>
      <c r="K4014" s="131">
        <f t="shared" si="239"/>
        <v>290870.88</v>
      </c>
      <c r="L4014" s="134">
        <v>0.1792</v>
      </c>
    </row>
    <row r="4015" spans="3:12">
      <c r="C4015" s="161">
        <f t="shared" si="237"/>
        <v>2015</v>
      </c>
      <c r="D4015" s="35" t="s">
        <v>320</v>
      </c>
      <c r="E4015" s="227">
        <v>42309</v>
      </c>
      <c r="F4015" s="156">
        <v>99290.49</v>
      </c>
      <c r="G4015" s="131">
        <f t="shared" si="238"/>
        <v>17792.855808</v>
      </c>
      <c r="H4015" s="156">
        <v>2302.9699999999998</v>
      </c>
      <c r="I4015" s="156">
        <v>0</v>
      </c>
      <c r="J4015" s="156">
        <v>164019.39000000001</v>
      </c>
      <c r="K4015" s="131">
        <f t="shared" si="239"/>
        <v>166322.36000000002</v>
      </c>
      <c r="L4015" s="134">
        <v>0.1792</v>
      </c>
    </row>
    <row r="4016" spans="3:12">
      <c r="C4016" s="161">
        <f t="shared" si="237"/>
        <v>2015</v>
      </c>
      <c r="D4016" s="35" t="s">
        <v>320</v>
      </c>
      <c r="E4016" s="227">
        <v>42339</v>
      </c>
      <c r="F4016" s="156">
        <v>78133.850000000006</v>
      </c>
      <c r="G4016" s="131">
        <f t="shared" si="238"/>
        <v>14001.585920000001</v>
      </c>
      <c r="H4016" s="156">
        <v>2561.19</v>
      </c>
      <c r="I4016" s="156">
        <v>0</v>
      </c>
      <c r="J4016" s="156">
        <v>17507.78</v>
      </c>
      <c r="K4016" s="131">
        <f t="shared" si="239"/>
        <v>20068.969999999998</v>
      </c>
      <c r="L4016" s="134">
        <v>0.1792</v>
      </c>
    </row>
    <row r="4017" spans="3:12">
      <c r="C4017" s="161">
        <f t="shared" si="237"/>
        <v>2016</v>
      </c>
      <c r="D4017" s="35" t="s">
        <v>320</v>
      </c>
      <c r="E4017" s="227">
        <v>42370</v>
      </c>
      <c r="F4017" s="156">
        <v>88676.92</v>
      </c>
      <c r="G4017" s="131">
        <f t="shared" si="238"/>
        <v>15890.904064</v>
      </c>
      <c r="H4017" s="156">
        <v>1148</v>
      </c>
      <c r="I4017" s="156">
        <v>0</v>
      </c>
      <c r="J4017" s="156">
        <v>6842.02</v>
      </c>
      <c r="K4017" s="131">
        <f t="shared" si="239"/>
        <v>7990.02</v>
      </c>
      <c r="L4017" s="134">
        <v>0.1792</v>
      </c>
    </row>
    <row r="4018" spans="3:12">
      <c r="C4018" s="161">
        <f t="shared" si="237"/>
        <v>2016</v>
      </c>
      <c r="D4018" s="35" t="s">
        <v>320</v>
      </c>
      <c r="E4018" s="227">
        <v>42401</v>
      </c>
      <c r="F4018" s="156">
        <v>91848.97</v>
      </c>
      <c r="G4018" s="131">
        <f t="shared" si="238"/>
        <v>16459.335424000001</v>
      </c>
      <c r="H4018" s="156">
        <v>1066.5999999999999</v>
      </c>
      <c r="I4018" s="156">
        <v>0</v>
      </c>
      <c r="J4018" s="156">
        <v>3600</v>
      </c>
      <c r="K4018" s="131">
        <f t="shared" si="239"/>
        <v>4666.6000000000004</v>
      </c>
      <c r="L4018" s="134">
        <v>0.1792</v>
      </c>
    </row>
    <row r="4019" spans="3:12">
      <c r="C4019" s="161">
        <f t="shared" si="237"/>
        <v>2016</v>
      </c>
      <c r="D4019" s="35" t="s">
        <v>320</v>
      </c>
      <c r="E4019" s="227">
        <v>42430</v>
      </c>
      <c r="F4019" s="156">
        <v>81640.02</v>
      </c>
      <c r="G4019" s="131">
        <f t="shared" si="238"/>
        <v>14629.891584000001</v>
      </c>
      <c r="H4019" s="156">
        <v>1957.74</v>
      </c>
      <c r="I4019" s="156">
        <v>0</v>
      </c>
      <c r="J4019" s="156">
        <v>28242.93</v>
      </c>
      <c r="K4019" s="131">
        <f t="shared" si="239"/>
        <v>30200.670000000002</v>
      </c>
      <c r="L4019" s="134">
        <v>0.1792</v>
      </c>
    </row>
    <row r="4020" spans="3:12">
      <c r="C4020" s="161">
        <f t="shared" si="237"/>
        <v>2016</v>
      </c>
      <c r="D4020" s="35" t="s">
        <v>320</v>
      </c>
      <c r="E4020" s="227">
        <v>42461</v>
      </c>
      <c r="F4020" s="156">
        <v>92616.41</v>
      </c>
      <c r="G4020" s="131">
        <f t="shared" si="238"/>
        <v>16596.860671999999</v>
      </c>
      <c r="H4020" s="156">
        <v>3254.96</v>
      </c>
      <c r="I4020" s="156">
        <v>0</v>
      </c>
      <c r="J4020" s="156">
        <v>0</v>
      </c>
      <c r="K4020" s="131">
        <f t="shared" si="239"/>
        <v>3254.96</v>
      </c>
      <c r="L4020" s="134">
        <v>0.1792</v>
      </c>
    </row>
    <row r="4021" spans="3:12">
      <c r="C4021" s="161">
        <f t="shared" si="237"/>
        <v>2016</v>
      </c>
      <c r="D4021" s="35" t="s">
        <v>320</v>
      </c>
      <c r="E4021" s="227">
        <v>42491</v>
      </c>
      <c r="F4021" s="156">
        <v>90840.07</v>
      </c>
      <c r="G4021" s="131">
        <f t="shared" si="238"/>
        <v>16278.540544000001</v>
      </c>
      <c r="H4021" s="156">
        <v>9712.75</v>
      </c>
      <c r="I4021" s="156">
        <v>0</v>
      </c>
      <c r="J4021" s="156">
        <v>0</v>
      </c>
      <c r="K4021" s="131">
        <f t="shared" si="239"/>
        <v>9712.75</v>
      </c>
      <c r="L4021" s="134">
        <v>0.1792</v>
      </c>
    </row>
    <row r="4022" spans="3:12">
      <c r="C4022" s="161">
        <f t="shared" si="237"/>
        <v>2016</v>
      </c>
      <c r="D4022" s="35" t="s">
        <v>320</v>
      </c>
      <c r="E4022" s="227">
        <v>42522</v>
      </c>
      <c r="F4022" s="156">
        <v>89078.52</v>
      </c>
      <c r="G4022" s="131">
        <f t="shared" si="238"/>
        <v>15962.870784000001</v>
      </c>
      <c r="H4022" s="156">
        <v>707.44</v>
      </c>
      <c r="I4022" s="156">
        <v>0</v>
      </c>
      <c r="J4022" s="156">
        <v>0</v>
      </c>
      <c r="K4022" s="131">
        <f t="shared" si="239"/>
        <v>707.44</v>
      </c>
      <c r="L4022" s="134">
        <v>0.1792</v>
      </c>
    </row>
    <row r="4023" spans="3:12">
      <c r="C4023" s="161">
        <f t="shared" si="237"/>
        <v>2016</v>
      </c>
      <c r="D4023" s="35" t="s">
        <v>320</v>
      </c>
      <c r="E4023" s="227">
        <v>42552</v>
      </c>
      <c r="F4023" s="156">
        <v>96319.53</v>
      </c>
      <c r="G4023" s="131">
        <f t="shared" si="238"/>
        <v>17260.459776</v>
      </c>
      <c r="H4023" s="156">
        <v>497.39</v>
      </c>
      <c r="I4023" s="156">
        <v>0</v>
      </c>
      <c r="J4023" s="156">
        <v>0</v>
      </c>
      <c r="K4023" s="131">
        <f t="shared" si="239"/>
        <v>497.39</v>
      </c>
      <c r="L4023" s="134">
        <v>0.1792</v>
      </c>
    </row>
    <row r="4024" spans="3:12">
      <c r="C4024" s="161">
        <f t="shared" si="237"/>
        <v>2016</v>
      </c>
      <c r="D4024" s="35" t="s">
        <v>320</v>
      </c>
      <c r="E4024" s="227">
        <v>42583</v>
      </c>
      <c r="F4024" s="156">
        <v>99135.39</v>
      </c>
      <c r="G4024" s="131">
        <f t="shared" si="238"/>
        <v>17765.061888</v>
      </c>
      <c r="H4024" s="156">
        <v>1237.94</v>
      </c>
      <c r="I4024" s="156">
        <v>0</v>
      </c>
      <c r="J4024" s="156">
        <v>6680</v>
      </c>
      <c r="K4024" s="131">
        <f t="shared" si="239"/>
        <v>7917.9400000000005</v>
      </c>
      <c r="L4024" s="134">
        <v>0.1792</v>
      </c>
    </row>
    <row r="4025" spans="3:12">
      <c r="C4025" s="161">
        <f t="shared" si="237"/>
        <v>2016</v>
      </c>
      <c r="D4025" s="35" t="s">
        <v>320</v>
      </c>
      <c r="E4025" s="227">
        <v>42614</v>
      </c>
      <c r="F4025" s="156">
        <v>94004.2</v>
      </c>
      <c r="G4025" s="131">
        <f t="shared" si="238"/>
        <v>16845.552639999998</v>
      </c>
      <c r="H4025" s="156">
        <v>1374.84</v>
      </c>
      <c r="I4025" s="156">
        <v>0</v>
      </c>
      <c r="J4025" s="156">
        <v>0</v>
      </c>
      <c r="K4025" s="131">
        <f t="shared" si="239"/>
        <v>1374.84</v>
      </c>
      <c r="L4025" s="134">
        <v>0.1792</v>
      </c>
    </row>
    <row r="4026" spans="3:12">
      <c r="C4026" s="161">
        <f t="shared" si="237"/>
        <v>2016</v>
      </c>
      <c r="D4026" s="35" t="s">
        <v>320</v>
      </c>
      <c r="E4026" s="227">
        <v>42644</v>
      </c>
      <c r="F4026" s="156">
        <v>102165.08</v>
      </c>
      <c r="G4026" s="131">
        <f t="shared" si="238"/>
        <v>18307.982336000001</v>
      </c>
      <c r="H4026" s="156">
        <v>440.73</v>
      </c>
      <c r="I4026" s="156">
        <v>0</v>
      </c>
      <c r="J4026" s="156">
        <v>0</v>
      </c>
      <c r="K4026" s="131">
        <f t="shared" si="239"/>
        <v>440.73</v>
      </c>
      <c r="L4026" s="134">
        <v>0.1792</v>
      </c>
    </row>
    <row r="4027" spans="3:12">
      <c r="C4027" s="161">
        <f t="shared" si="237"/>
        <v>2016</v>
      </c>
      <c r="D4027" s="35" t="s">
        <v>320</v>
      </c>
      <c r="E4027" s="227">
        <v>42675</v>
      </c>
      <c r="F4027" s="156">
        <v>109419.54</v>
      </c>
      <c r="G4027" s="131">
        <f t="shared" si="238"/>
        <v>19607.981567999999</v>
      </c>
      <c r="H4027" s="156">
        <v>587443.87</v>
      </c>
      <c r="I4027" s="156">
        <v>0</v>
      </c>
      <c r="J4027" s="156">
        <v>0</v>
      </c>
      <c r="K4027" s="131">
        <f t="shared" si="239"/>
        <v>587443.87</v>
      </c>
      <c r="L4027" s="134">
        <v>0.1792</v>
      </c>
    </row>
    <row r="4028" spans="3:12">
      <c r="C4028" s="161">
        <f t="shared" si="237"/>
        <v>2016</v>
      </c>
      <c r="D4028" s="35" t="s">
        <v>320</v>
      </c>
      <c r="E4028" s="227">
        <v>42705</v>
      </c>
      <c r="F4028" s="156">
        <v>109546.99</v>
      </c>
      <c r="G4028" s="131">
        <f t="shared" si="238"/>
        <v>19630.820608000002</v>
      </c>
      <c r="H4028" s="156">
        <v>547.27</v>
      </c>
      <c r="I4028" s="156">
        <v>0</v>
      </c>
      <c r="J4028" s="156">
        <v>0</v>
      </c>
      <c r="K4028" s="131">
        <f t="shared" si="239"/>
        <v>547.27</v>
      </c>
      <c r="L4028" s="134">
        <v>0.1792</v>
      </c>
    </row>
    <row r="4029" spans="3:12">
      <c r="C4029" s="161">
        <f t="shared" si="237"/>
        <v>2017</v>
      </c>
      <c r="D4029" s="35" t="s">
        <v>320</v>
      </c>
      <c r="E4029" s="227">
        <v>42736</v>
      </c>
      <c r="F4029" s="156">
        <v>112831.63</v>
      </c>
      <c r="G4029" s="131">
        <f t="shared" si="238"/>
        <v>20219.428096</v>
      </c>
      <c r="H4029" s="156">
        <v>206736.8</v>
      </c>
      <c r="I4029" s="156">
        <v>0</v>
      </c>
      <c r="J4029" s="156">
        <v>2532.3200000000002</v>
      </c>
      <c r="K4029" s="131">
        <f t="shared" si="239"/>
        <v>209269.12</v>
      </c>
      <c r="L4029" s="134">
        <v>0.1792</v>
      </c>
    </row>
    <row r="4030" spans="3:12">
      <c r="C4030" s="161">
        <f t="shared" si="237"/>
        <v>2017</v>
      </c>
      <c r="D4030" s="35" t="s">
        <v>320</v>
      </c>
      <c r="E4030" s="227">
        <v>42767</v>
      </c>
      <c r="F4030" s="156">
        <v>109492.14</v>
      </c>
      <c r="G4030" s="131">
        <f t="shared" si="238"/>
        <v>19620.991488</v>
      </c>
      <c r="H4030" s="156">
        <v>301133.78999999998</v>
      </c>
      <c r="I4030" s="156">
        <v>0</v>
      </c>
      <c r="J4030" s="156">
        <v>2221.1999999999998</v>
      </c>
      <c r="K4030" s="131">
        <f t="shared" si="239"/>
        <v>303354.99</v>
      </c>
      <c r="L4030" s="134">
        <v>0.1792</v>
      </c>
    </row>
    <row r="4031" spans="3:12">
      <c r="C4031" s="161">
        <f t="shared" si="237"/>
        <v>2017</v>
      </c>
      <c r="D4031" s="35" t="s">
        <v>320</v>
      </c>
      <c r="E4031" s="227">
        <v>42795</v>
      </c>
      <c r="F4031" s="156">
        <v>105674.91</v>
      </c>
      <c r="G4031" s="131">
        <f t="shared" si="238"/>
        <v>18936.943872</v>
      </c>
      <c r="H4031" s="156">
        <v>450583.71</v>
      </c>
      <c r="I4031" s="156">
        <v>0</v>
      </c>
      <c r="J4031" s="156">
        <v>266</v>
      </c>
      <c r="K4031" s="131">
        <f t="shared" si="239"/>
        <v>450849.71</v>
      </c>
      <c r="L4031" s="134">
        <v>0.1792</v>
      </c>
    </row>
    <row r="4032" spans="3:12">
      <c r="C4032" s="161">
        <f t="shared" si="237"/>
        <v>2017</v>
      </c>
      <c r="D4032" s="35" t="s">
        <v>320</v>
      </c>
      <c r="E4032" s="227">
        <v>42826</v>
      </c>
      <c r="F4032" s="156">
        <v>101511.71</v>
      </c>
      <c r="G4032" s="131">
        <f t="shared" si="238"/>
        <v>18190.898432000002</v>
      </c>
      <c r="H4032" s="156">
        <v>179241.58</v>
      </c>
      <c r="I4032" s="156">
        <v>0</v>
      </c>
      <c r="J4032" s="156">
        <v>0</v>
      </c>
      <c r="K4032" s="131">
        <f t="shared" si="239"/>
        <v>179241.58</v>
      </c>
      <c r="L4032" s="134">
        <v>0.1792</v>
      </c>
    </row>
    <row r="4033" spans="3:12">
      <c r="C4033" s="161">
        <f t="shared" si="237"/>
        <v>2017</v>
      </c>
      <c r="D4033" s="35" t="s">
        <v>320</v>
      </c>
      <c r="E4033" s="227">
        <v>42856</v>
      </c>
      <c r="F4033" s="156">
        <v>90153.1</v>
      </c>
      <c r="G4033" s="131">
        <f t="shared" si="238"/>
        <v>16155.435520000001</v>
      </c>
      <c r="H4033" s="156">
        <v>124727.89</v>
      </c>
      <c r="I4033" s="156">
        <v>0</v>
      </c>
      <c r="J4033" s="156">
        <v>0</v>
      </c>
      <c r="K4033" s="131">
        <f t="shared" si="239"/>
        <v>124727.89</v>
      </c>
      <c r="L4033" s="134">
        <v>0.1792</v>
      </c>
    </row>
    <row r="4034" spans="3:12">
      <c r="C4034" s="161">
        <f t="shared" si="237"/>
        <v>2017</v>
      </c>
      <c r="D4034" s="35" t="s">
        <v>320</v>
      </c>
      <c r="E4034" s="227">
        <v>42887</v>
      </c>
      <c r="F4034" s="156">
        <v>91196.55</v>
      </c>
      <c r="G4034" s="131">
        <f t="shared" si="238"/>
        <v>16342.421760000001</v>
      </c>
      <c r="H4034" s="156">
        <v>136905.01</v>
      </c>
      <c r="I4034" s="156">
        <v>0</v>
      </c>
      <c r="J4034" s="156">
        <v>0</v>
      </c>
      <c r="K4034" s="131">
        <f t="shared" si="239"/>
        <v>136905.01</v>
      </c>
      <c r="L4034" s="134">
        <v>0.1792</v>
      </c>
    </row>
    <row r="4035" spans="3:12">
      <c r="C4035" s="161">
        <f t="shared" si="237"/>
        <v>2017</v>
      </c>
      <c r="D4035" s="35" t="s">
        <v>320</v>
      </c>
      <c r="E4035" s="227">
        <v>42917</v>
      </c>
      <c r="F4035" s="156">
        <v>95858.72</v>
      </c>
      <c r="G4035" s="131">
        <f t="shared" si="238"/>
        <v>17177.882624000002</v>
      </c>
      <c r="H4035" s="156">
        <v>182089.98</v>
      </c>
      <c r="I4035" s="156">
        <v>0</v>
      </c>
      <c r="J4035" s="156">
        <v>0</v>
      </c>
      <c r="K4035" s="131">
        <f t="shared" si="239"/>
        <v>182089.98</v>
      </c>
      <c r="L4035" s="134">
        <v>0.1792</v>
      </c>
    </row>
    <row r="4036" spans="3:12">
      <c r="C4036" s="161">
        <f t="shared" ref="C4036:C4099" si="240">YEAR(E4036)</f>
        <v>2017</v>
      </c>
      <c r="D4036" s="35" t="s">
        <v>320</v>
      </c>
      <c r="E4036" s="227">
        <v>42948</v>
      </c>
      <c r="F4036" s="156">
        <v>103086.75</v>
      </c>
      <c r="G4036" s="131">
        <f t="shared" ref="G4036:G4099" si="241">F4036*L4036</f>
        <v>18473.1456</v>
      </c>
      <c r="H4036" s="156">
        <v>134082.07</v>
      </c>
      <c r="I4036" s="156">
        <v>0</v>
      </c>
      <c r="J4036" s="156">
        <v>0</v>
      </c>
      <c r="K4036" s="131">
        <f t="shared" ref="K4036:K4099" si="242">SUM(H4036:J4036)</f>
        <v>134082.07</v>
      </c>
      <c r="L4036" s="134">
        <v>0.1792</v>
      </c>
    </row>
    <row r="4037" spans="3:12">
      <c r="C4037" s="161">
        <f t="shared" si="240"/>
        <v>2017</v>
      </c>
      <c r="D4037" s="35" t="s">
        <v>320</v>
      </c>
      <c r="E4037" s="227">
        <v>42979</v>
      </c>
      <c r="F4037" s="156">
        <v>117001.7</v>
      </c>
      <c r="G4037" s="131">
        <f t="shared" si="241"/>
        <v>20966.70464</v>
      </c>
      <c r="H4037" s="156">
        <v>58.47</v>
      </c>
      <c r="I4037" s="156">
        <v>0</v>
      </c>
      <c r="J4037" s="156">
        <v>0</v>
      </c>
      <c r="K4037" s="131">
        <f t="shared" si="242"/>
        <v>58.47</v>
      </c>
      <c r="L4037" s="134">
        <v>0.1792</v>
      </c>
    </row>
    <row r="4038" spans="3:12">
      <c r="C4038" s="161">
        <f t="shared" si="240"/>
        <v>2017</v>
      </c>
      <c r="D4038" s="35" t="s">
        <v>320</v>
      </c>
      <c r="E4038" s="227">
        <v>43009</v>
      </c>
      <c r="F4038" s="156">
        <v>110009.66</v>
      </c>
      <c r="G4038" s="131">
        <f t="shared" si="241"/>
        <v>19713.731071999999</v>
      </c>
      <c r="H4038" s="156">
        <v>226654.35</v>
      </c>
      <c r="I4038" s="156">
        <v>0</v>
      </c>
      <c r="J4038" s="156">
        <v>0</v>
      </c>
      <c r="K4038" s="131">
        <f t="shared" si="242"/>
        <v>226654.35</v>
      </c>
      <c r="L4038" s="134">
        <v>0.1792</v>
      </c>
    </row>
    <row r="4039" spans="3:12">
      <c r="C4039" s="161">
        <f t="shared" si="240"/>
        <v>2017</v>
      </c>
      <c r="D4039" s="35" t="s">
        <v>320</v>
      </c>
      <c r="E4039" s="227">
        <v>43040</v>
      </c>
      <c r="F4039" s="156">
        <v>115021.33</v>
      </c>
      <c r="G4039" s="131">
        <f t="shared" si="241"/>
        <v>20611.822336000001</v>
      </c>
      <c r="H4039" s="156">
        <v>8003.7</v>
      </c>
      <c r="I4039" s="156">
        <v>0</v>
      </c>
      <c r="J4039" s="156">
        <v>0</v>
      </c>
      <c r="K4039" s="131">
        <f t="shared" si="242"/>
        <v>8003.7</v>
      </c>
      <c r="L4039" s="134">
        <v>0.1792</v>
      </c>
    </row>
    <row r="4040" spans="3:12">
      <c r="C4040" s="161">
        <f t="shared" si="240"/>
        <v>2017</v>
      </c>
      <c r="D4040" s="35" t="s">
        <v>320</v>
      </c>
      <c r="E4040" s="227">
        <v>43070</v>
      </c>
      <c r="F4040" s="156">
        <v>104324.59</v>
      </c>
      <c r="G4040" s="131">
        <f t="shared" si="241"/>
        <v>18694.966528000001</v>
      </c>
      <c r="H4040" s="156">
        <v>357027.2</v>
      </c>
      <c r="I4040" s="156">
        <v>0</v>
      </c>
      <c r="J4040" s="156">
        <v>0</v>
      </c>
      <c r="K4040" s="131">
        <f t="shared" si="242"/>
        <v>357027.2</v>
      </c>
      <c r="L4040" s="134">
        <v>0.1792</v>
      </c>
    </row>
    <row r="4041" spans="3:12">
      <c r="C4041" s="161">
        <f t="shared" si="240"/>
        <v>2018</v>
      </c>
      <c r="D4041" s="35" t="s">
        <v>320</v>
      </c>
      <c r="E4041" s="227">
        <v>43101</v>
      </c>
      <c r="F4041" s="156">
        <v>110258.49</v>
      </c>
      <c r="G4041" s="131">
        <f t="shared" si="241"/>
        <v>19758.321408</v>
      </c>
      <c r="H4041" s="156">
        <v>364206.39</v>
      </c>
      <c r="I4041" s="156">
        <v>0</v>
      </c>
      <c r="J4041" s="156">
        <v>0</v>
      </c>
      <c r="K4041" s="131">
        <f t="shared" si="242"/>
        <v>364206.39</v>
      </c>
      <c r="L4041" s="134">
        <v>0.1792</v>
      </c>
    </row>
    <row r="4042" spans="3:12">
      <c r="C4042" s="161">
        <f t="shared" si="240"/>
        <v>2018</v>
      </c>
      <c r="D4042" s="35" t="s">
        <v>320</v>
      </c>
      <c r="E4042" s="227">
        <v>43132</v>
      </c>
      <c r="F4042" s="156">
        <v>110046.24</v>
      </c>
      <c r="G4042" s="131">
        <f t="shared" si="241"/>
        <v>19720.286208000001</v>
      </c>
      <c r="H4042" s="156">
        <v>773.06</v>
      </c>
      <c r="I4042" s="156">
        <v>0</v>
      </c>
      <c r="J4042" s="156">
        <v>0</v>
      </c>
      <c r="K4042" s="131">
        <f t="shared" si="242"/>
        <v>773.06</v>
      </c>
      <c r="L4042" s="134">
        <v>0.1792</v>
      </c>
    </row>
    <row r="4043" spans="3:12">
      <c r="C4043" s="161">
        <f t="shared" si="240"/>
        <v>2018</v>
      </c>
      <c r="D4043" s="35" t="s">
        <v>320</v>
      </c>
      <c r="E4043" s="227">
        <v>43160</v>
      </c>
      <c r="F4043" s="156">
        <v>101027.36</v>
      </c>
      <c r="G4043" s="131">
        <f t="shared" si="241"/>
        <v>18104.102911999998</v>
      </c>
      <c r="H4043" s="156">
        <v>488.02</v>
      </c>
      <c r="I4043" s="156">
        <v>0</v>
      </c>
      <c r="J4043" s="156">
        <v>0</v>
      </c>
      <c r="K4043" s="131">
        <f t="shared" si="242"/>
        <v>488.02</v>
      </c>
      <c r="L4043" s="134">
        <v>0.1792</v>
      </c>
    </row>
    <row r="4044" spans="3:12">
      <c r="C4044" s="161">
        <f t="shared" si="240"/>
        <v>2018</v>
      </c>
      <c r="D4044" s="35" t="s">
        <v>320</v>
      </c>
      <c r="E4044" s="227">
        <v>43191</v>
      </c>
      <c r="F4044" s="156">
        <v>106908.53</v>
      </c>
      <c r="G4044" s="131">
        <f t="shared" si="241"/>
        <v>19158.008576</v>
      </c>
      <c r="H4044" s="156">
        <v>270648.71000000002</v>
      </c>
      <c r="I4044" s="156">
        <v>0</v>
      </c>
      <c r="J4044" s="156">
        <v>0</v>
      </c>
      <c r="K4044" s="131">
        <f t="shared" si="242"/>
        <v>270648.71000000002</v>
      </c>
      <c r="L4044" s="134">
        <v>0.1792</v>
      </c>
    </row>
    <row r="4045" spans="3:12">
      <c r="C4045" s="161">
        <f t="shared" si="240"/>
        <v>2018</v>
      </c>
      <c r="D4045" s="35" t="s">
        <v>320</v>
      </c>
      <c r="E4045" s="227">
        <v>43221</v>
      </c>
      <c r="F4045" s="156">
        <v>111996.52</v>
      </c>
      <c r="G4045" s="131">
        <f t="shared" si="241"/>
        <v>20069.776384000001</v>
      </c>
      <c r="H4045" s="156">
        <v>6922.69</v>
      </c>
      <c r="I4045" s="156">
        <v>0</v>
      </c>
      <c r="J4045" s="156">
        <v>0</v>
      </c>
      <c r="K4045" s="131">
        <f t="shared" si="242"/>
        <v>6922.69</v>
      </c>
      <c r="L4045" s="134">
        <v>0.1792</v>
      </c>
    </row>
    <row r="4046" spans="3:12">
      <c r="C4046" s="161">
        <f t="shared" si="240"/>
        <v>2018</v>
      </c>
      <c r="D4046" s="35" t="s">
        <v>320</v>
      </c>
      <c r="E4046" s="227">
        <v>43252</v>
      </c>
      <c r="F4046" s="156">
        <v>103471.63</v>
      </c>
      <c r="G4046" s="131">
        <f t="shared" si="241"/>
        <v>18542.116096000002</v>
      </c>
      <c r="H4046" s="156">
        <v>447296.52</v>
      </c>
      <c r="I4046" s="156">
        <v>0</v>
      </c>
      <c r="J4046" s="156">
        <v>0</v>
      </c>
      <c r="K4046" s="131">
        <f t="shared" si="242"/>
        <v>447296.52</v>
      </c>
      <c r="L4046" s="134">
        <v>0.1792</v>
      </c>
    </row>
    <row r="4047" spans="3:12">
      <c r="C4047" s="161">
        <f t="shared" si="240"/>
        <v>2018</v>
      </c>
      <c r="D4047" s="35" t="s">
        <v>320</v>
      </c>
      <c r="E4047" s="227">
        <v>43282</v>
      </c>
      <c r="F4047" s="156">
        <v>108637.22</v>
      </c>
      <c r="G4047" s="131">
        <f t="shared" si="241"/>
        <v>19467.789823999999</v>
      </c>
      <c r="H4047" s="156">
        <v>15741.24</v>
      </c>
      <c r="I4047" s="156">
        <v>0</v>
      </c>
      <c r="J4047" s="156">
        <v>0</v>
      </c>
      <c r="K4047" s="131">
        <f t="shared" si="242"/>
        <v>15741.24</v>
      </c>
      <c r="L4047" s="134">
        <v>0.1792</v>
      </c>
    </row>
    <row r="4048" spans="3:12">
      <c r="C4048" s="161">
        <f t="shared" si="240"/>
        <v>2018</v>
      </c>
      <c r="D4048" s="35" t="s">
        <v>320</v>
      </c>
      <c r="E4048" s="227">
        <v>43313</v>
      </c>
      <c r="F4048" s="156">
        <v>110030.81</v>
      </c>
      <c r="G4048" s="131">
        <f t="shared" si="241"/>
        <v>19717.521152000001</v>
      </c>
      <c r="H4048" s="156">
        <v>130.61000000000001</v>
      </c>
      <c r="I4048" s="156">
        <v>0</v>
      </c>
      <c r="J4048" s="156">
        <v>0</v>
      </c>
      <c r="K4048" s="131">
        <f t="shared" si="242"/>
        <v>130.61000000000001</v>
      </c>
      <c r="L4048" s="134">
        <v>0.1792</v>
      </c>
    </row>
    <row r="4049" spans="3:12">
      <c r="C4049" s="161">
        <f t="shared" si="240"/>
        <v>2018</v>
      </c>
      <c r="D4049" s="35" t="s">
        <v>320</v>
      </c>
      <c r="E4049" s="227">
        <v>43344</v>
      </c>
      <c r="F4049" s="156">
        <v>105682.57</v>
      </c>
      <c r="G4049" s="131">
        <f t="shared" si="241"/>
        <v>18938.316544000001</v>
      </c>
      <c r="H4049" s="156">
        <v>257.13</v>
      </c>
      <c r="I4049" s="156">
        <v>0</v>
      </c>
      <c r="J4049" s="156">
        <v>0</v>
      </c>
      <c r="K4049" s="131">
        <f t="shared" si="242"/>
        <v>257.13</v>
      </c>
      <c r="L4049" s="134">
        <v>0.1792</v>
      </c>
    </row>
    <row r="4050" spans="3:12">
      <c r="C4050" s="161">
        <f t="shared" si="240"/>
        <v>2018</v>
      </c>
      <c r="D4050" s="35" t="s">
        <v>320</v>
      </c>
      <c r="E4050" s="227">
        <v>43374</v>
      </c>
      <c r="F4050" s="156">
        <v>108634.53</v>
      </c>
      <c r="G4050" s="131">
        <f t="shared" si="241"/>
        <v>19467.307775999998</v>
      </c>
      <c r="H4050" s="156">
        <v>2460.17</v>
      </c>
      <c r="I4050" s="156">
        <v>0</v>
      </c>
      <c r="J4050" s="156">
        <v>0</v>
      </c>
      <c r="K4050" s="131">
        <f t="shared" si="242"/>
        <v>2460.17</v>
      </c>
      <c r="L4050" s="134">
        <v>0.1792</v>
      </c>
    </row>
    <row r="4051" spans="3:12">
      <c r="C4051" s="161">
        <f t="shared" si="240"/>
        <v>2018</v>
      </c>
      <c r="D4051" s="35" t="s">
        <v>320</v>
      </c>
      <c r="E4051" s="227">
        <v>43405</v>
      </c>
      <c r="F4051" s="156">
        <v>113382.35122500001</v>
      </c>
      <c r="G4051" s="131">
        <f t="shared" si="241"/>
        <v>20318.117339520002</v>
      </c>
      <c r="H4051" s="156">
        <v>810.48</v>
      </c>
      <c r="I4051" s="156">
        <v>0</v>
      </c>
      <c r="J4051" s="156">
        <v>43222.5</v>
      </c>
      <c r="K4051" s="131">
        <f t="shared" si="242"/>
        <v>44032.98</v>
      </c>
      <c r="L4051" s="134">
        <v>0.1792</v>
      </c>
    </row>
    <row r="4052" spans="3:12">
      <c r="C4052" s="161">
        <f t="shared" si="240"/>
        <v>2018</v>
      </c>
      <c r="D4052" s="35" t="s">
        <v>320</v>
      </c>
      <c r="E4052" s="227">
        <v>43435</v>
      </c>
      <c r="F4052" s="156">
        <v>116724.89</v>
      </c>
      <c r="G4052" s="131">
        <f t="shared" si="241"/>
        <v>20917.100288000001</v>
      </c>
      <c r="H4052" s="156">
        <v>0</v>
      </c>
      <c r="I4052" s="156">
        <v>0</v>
      </c>
      <c r="J4052" s="156">
        <v>0</v>
      </c>
      <c r="K4052" s="131">
        <f t="shared" si="242"/>
        <v>0</v>
      </c>
      <c r="L4052" s="134">
        <v>0.1792</v>
      </c>
    </row>
    <row r="4053" spans="3:12">
      <c r="C4053" s="161">
        <f t="shared" si="240"/>
        <v>2019</v>
      </c>
      <c r="D4053" s="35" t="s">
        <v>320</v>
      </c>
      <c r="E4053" s="227">
        <v>43466</v>
      </c>
      <c r="F4053" s="156">
        <v>121586.83</v>
      </c>
      <c r="G4053" s="131">
        <f t="shared" si="241"/>
        <v>21788.359936000001</v>
      </c>
      <c r="H4053" s="156">
        <v>3912.66</v>
      </c>
      <c r="I4053" s="156">
        <v>0</v>
      </c>
      <c r="J4053" s="156">
        <v>0</v>
      </c>
      <c r="K4053" s="131">
        <f t="shared" si="242"/>
        <v>3912.66</v>
      </c>
      <c r="L4053" s="134">
        <v>0.1792</v>
      </c>
    </row>
    <row r="4054" spans="3:12">
      <c r="C4054" s="161">
        <f t="shared" si="240"/>
        <v>2019</v>
      </c>
      <c r="D4054" s="35" t="s">
        <v>320</v>
      </c>
      <c r="E4054" s="227">
        <v>43497</v>
      </c>
      <c r="F4054" s="156">
        <v>119106.4</v>
      </c>
      <c r="G4054" s="131">
        <f t="shared" si="241"/>
        <v>21343.866879999998</v>
      </c>
      <c r="H4054" s="156">
        <v>104.46</v>
      </c>
      <c r="I4054" s="156">
        <v>0</v>
      </c>
      <c r="J4054" s="156">
        <v>0</v>
      </c>
      <c r="K4054" s="131">
        <f t="shared" si="242"/>
        <v>104.46</v>
      </c>
      <c r="L4054" s="134">
        <v>0.1792</v>
      </c>
    </row>
    <row r="4055" spans="3:12">
      <c r="C4055" s="161">
        <f t="shared" si="240"/>
        <v>2019</v>
      </c>
      <c r="D4055" s="35" t="s">
        <v>320</v>
      </c>
      <c r="E4055" s="227">
        <v>43525</v>
      </c>
      <c r="F4055" s="156">
        <v>93061.93</v>
      </c>
      <c r="G4055" s="131">
        <f t="shared" si="241"/>
        <v>16676.697855999999</v>
      </c>
      <c r="H4055" s="156">
        <v>446.94</v>
      </c>
      <c r="I4055" s="156">
        <v>0</v>
      </c>
      <c r="J4055" s="156">
        <v>0</v>
      </c>
      <c r="K4055" s="131">
        <f t="shared" si="242"/>
        <v>446.94</v>
      </c>
      <c r="L4055" s="134">
        <v>0.1792</v>
      </c>
    </row>
    <row r="4056" spans="3:12">
      <c r="C4056" s="161">
        <f t="shared" si="240"/>
        <v>2019</v>
      </c>
      <c r="D4056" s="35" t="s">
        <v>320</v>
      </c>
      <c r="E4056" s="227">
        <v>43556</v>
      </c>
      <c r="F4056" s="156">
        <v>112636.03</v>
      </c>
      <c r="G4056" s="131">
        <f t="shared" si="241"/>
        <v>20184.376575999999</v>
      </c>
      <c r="H4056" s="156">
        <v>1568.85</v>
      </c>
      <c r="I4056" s="156">
        <v>0</v>
      </c>
      <c r="J4056" s="156">
        <v>0</v>
      </c>
      <c r="K4056" s="131">
        <f t="shared" si="242"/>
        <v>1568.85</v>
      </c>
      <c r="L4056" s="134">
        <v>0.1792</v>
      </c>
    </row>
    <row r="4057" spans="3:12">
      <c r="C4057" s="161">
        <f t="shared" si="240"/>
        <v>2019</v>
      </c>
      <c r="D4057" s="35" t="s">
        <v>320</v>
      </c>
      <c r="E4057" s="227">
        <v>43586</v>
      </c>
      <c r="F4057" s="156">
        <v>101015.6</v>
      </c>
      <c r="G4057" s="131">
        <f t="shared" si="241"/>
        <v>18101.99552</v>
      </c>
      <c r="H4057" s="156">
        <v>3209.77</v>
      </c>
      <c r="I4057" s="156">
        <v>0</v>
      </c>
      <c r="J4057" s="156">
        <v>0</v>
      </c>
      <c r="K4057" s="131">
        <f t="shared" si="242"/>
        <v>3209.77</v>
      </c>
      <c r="L4057" s="134">
        <v>0.1792</v>
      </c>
    </row>
    <row r="4058" spans="3:12">
      <c r="C4058" s="161">
        <f t="shared" si="240"/>
        <v>2019</v>
      </c>
      <c r="D4058" s="35" t="s">
        <v>320</v>
      </c>
      <c r="E4058" s="227">
        <v>43617</v>
      </c>
      <c r="F4058" s="156">
        <v>110969.94</v>
      </c>
      <c r="G4058" s="131">
        <f t="shared" si="241"/>
        <v>19885.813247999999</v>
      </c>
      <c r="H4058" s="156">
        <v>1804.64</v>
      </c>
      <c r="I4058" s="156">
        <v>0</v>
      </c>
      <c r="J4058" s="156">
        <v>0</v>
      </c>
      <c r="K4058" s="131">
        <f t="shared" si="242"/>
        <v>1804.64</v>
      </c>
      <c r="L4058" s="134">
        <v>0.1792</v>
      </c>
    </row>
    <row r="4059" spans="3:12">
      <c r="C4059" s="161">
        <f t="shared" si="240"/>
        <v>2019</v>
      </c>
      <c r="D4059" s="35" t="s">
        <v>320</v>
      </c>
      <c r="E4059" s="227">
        <v>43647</v>
      </c>
      <c r="F4059" s="156">
        <v>105786.18</v>
      </c>
      <c r="G4059" s="131">
        <f t="shared" si="241"/>
        <v>18956.883456</v>
      </c>
      <c r="H4059" s="156">
        <v>4888.8</v>
      </c>
      <c r="I4059" s="156">
        <v>0</v>
      </c>
      <c r="J4059" s="156">
        <v>0</v>
      </c>
      <c r="K4059" s="131">
        <f t="shared" si="242"/>
        <v>4888.8</v>
      </c>
      <c r="L4059" s="134">
        <v>0.1792</v>
      </c>
    </row>
    <row r="4060" spans="3:12">
      <c r="C4060" s="161">
        <f t="shared" si="240"/>
        <v>2019</v>
      </c>
      <c r="D4060" s="35" t="s">
        <v>320</v>
      </c>
      <c r="E4060" s="227">
        <v>43678</v>
      </c>
      <c r="F4060" s="156">
        <v>114516.47</v>
      </c>
      <c r="G4060" s="131">
        <f t="shared" si="241"/>
        <v>20521.351424</v>
      </c>
      <c r="H4060" s="156">
        <v>877542.17</v>
      </c>
      <c r="I4060" s="156">
        <v>0</v>
      </c>
      <c r="J4060" s="156">
        <v>0</v>
      </c>
      <c r="K4060" s="131">
        <f t="shared" si="242"/>
        <v>877542.17</v>
      </c>
      <c r="L4060" s="134">
        <v>0.1792</v>
      </c>
    </row>
    <row r="4061" spans="3:12">
      <c r="C4061" s="161">
        <f t="shared" si="240"/>
        <v>2019</v>
      </c>
      <c r="D4061" s="35" t="s">
        <v>320</v>
      </c>
      <c r="E4061" s="227">
        <v>43709</v>
      </c>
      <c r="F4061" s="156">
        <v>136406.94</v>
      </c>
      <c r="G4061" s="131">
        <f t="shared" si="241"/>
        <v>24444.123648000001</v>
      </c>
      <c r="H4061" s="156">
        <v>3366.3</v>
      </c>
      <c r="I4061" s="156">
        <v>0</v>
      </c>
      <c r="J4061" s="156">
        <v>7528.26</v>
      </c>
      <c r="K4061" s="131">
        <f t="shared" si="242"/>
        <v>10894.560000000001</v>
      </c>
      <c r="L4061" s="134">
        <v>0.1792</v>
      </c>
    </row>
    <row r="4062" spans="3:12">
      <c r="C4062" s="161">
        <f t="shared" si="240"/>
        <v>2019</v>
      </c>
      <c r="D4062" s="35" t="s">
        <v>320</v>
      </c>
      <c r="E4062" s="227">
        <v>43739</v>
      </c>
      <c r="F4062" s="156">
        <v>126921.68</v>
      </c>
      <c r="G4062" s="131">
        <f t="shared" si="241"/>
        <v>22744.365055999999</v>
      </c>
      <c r="H4062" s="156">
        <v>359.12</v>
      </c>
      <c r="I4062" s="156">
        <v>0</v>
      </c>
      <c r="J4062" s="156">
        <v>0</v>
      </c>
      <c r="K4062" s="131">
        <f t="shared" si="242"/>
        <v>359.12</v>
      </c>
      <c r="L4062" s="134">
        <v>0.1792</v>
      </c>
    </row>
    <row r="4063" spans="3:12">
      <c r="C4063" s="161">
        <f t="shared" si="240"/>
        <v>2019</v>
      </c>
      <c r="D4063" s="35" t="s">
        <v>320</v>
      </c>
      <c r="E4063" s="227">
        <v>43770</v>
      </c>
      <c r="F4063" s="156">
        <v>146972.42000000001</v>
      </c>
      <c r="G4063" s="131">
        <f t="shared" si="241"/>
        <v>26337.457664000001</v>
      </c>
      <c r="H4063" s="156">
        <v>850.88</v>
      </c>
      <c r="I4063" s="156">
        <v>0</v>
      </c>
      <c r="J4063" s="156">
        <v>0</v>
      </c>
      <c r="K4063" s="131">
        <f t="shared" si="242"/>
        <v>850.88</v>
      </c>
      <c r="L4063" s="134">
        <v>0.1792</v>
      </c>
    </row>
    <row r="4064" spans="3:12">
      <c r="C4064" s="161">
        <f t="shared" si="240"/>
        <v>2019</v>
      </c>
      <c r="D4064" s="35" t="s">
        <v>320</v>
      </c>
      <c r="E4064" s="227">
        <v>43800</v>
      </c>
      <c r="F4064" s="156">
        <v>117799.11</v>
      </c>
      <c r="G4064" s="131">
        <f t="shared" si="241"/>
        <v>21109.600512000001</v>
      </c>
      <c r="H4064" s="156">
        <v>2149.61</v>
      </c>
      <c r="I4064" s="156">
        <v>0</v>
      </c>
      <c r="J4064" s="156">
        <v>0</v>
      </c>
      <c r="K4064" s="131">
        <f t="shared" si="242"/>
        <v>2149.61</v>
      </c>
      <c r="L4064" s="134">
        <v>0.1792</v>
      </c>
    </row>
    <row r="4065" spans="3:12">
      <c r="C4065" s="161">
        <f t="shared" si="240"/>
        <v>2020</v>
      </c>
      <c r="D4065" s="35" t="s">
        <v>320</v>
      </c>
      <c r="E4065" s="227">
        <v>43831</v>
      </c>
      <c r="F4065" s="156">
        <v>136614.39000000001</v>
      </c>
      <c r="G4065" s="131">
        <f t="shared" si="241"/>
        <v>24481.298688000003</v>
      </c>
      <c r="H4065" s="156">
        <v>759.11</v>
      </c>
      <c r="I4065" s="156">
        <v>0</v>
      </c>
      <c r="J4065" s="156">
        <v>0</v>
      </c>
      <c r="K4065" s="131">
        <f t="shared" si="242"/>
        <v>759.11</v>
      </c>
      <c r="L4065" s="134">
        <v>0.1792</v>
      </c>
    </row>
    <row r="4066" spans="3:12">
      <c r="C4066" s="161">
        <f t="shared" si="240"/>
        <v>2020</v>
      </c>
      <c r="D4066" s="35" t="s">
        <v>320</v>
      </c>
      <c r="E4066" s="227">
        <v>43862</v>
      </c>
      <c r="F4066" s="156">
        <v>134866.16</v>
      </c>
      <c r="G4066" s="131">
        <f t="shared" si="241"/>
        <v>24168.015872</v>
      </c>
      <c r="H4066" s="156">
        <v>16292.45</v>
      </c>
      <c r="I4066" s="156">
        <v>0</v>
      </c>
      <c r="J4066" s="156">
        <v>0</v>
      </c>
      <c r="K4066" s="131">
        <f t="shared" si="242"/>
        <v>16292.45</v>
      </c>
      <c r="L4066" s="134">
        <v>0.1792</v>
      </c>
    </row>
    <row r="4067" spans="3:12">
      <c r="C4067" s="161">
        <f t="shared" si="240"/>
        <v>2020</v>
      </c>
      <c r="D4067" s="35" t="s">
        <v>320</v>
      </c>
      <c r="E4067" s="227">
        <v>43891</v>
      </c>
      <c r="F4067" s="156">
        <v>113624.20905</v>
      </c>
      <c r="G4067" s="131">
        <f t="shared" si="241"/>
        <v>20361.458261759999</v>
      </c>
      <c r="H4067" s="156">
        <v>1438.28</v>
      </c>
      <c r="I4067" s="156">
        <v>0</v>
      </c>
      <c r="J4067" s="156">
        <v>0</v>
      </c>
      <c r="K4067" s="131">
        <f t="shared" si="242"/>
        <v>1438.28</v>
      </c>
      <c r="L4067" s="134">
        <v>0.1792</v>
      </c>
    </row>
    <row r="4068" spans="3:12">
      <c r="C4068" s="161">
        <f t="shared" si="240"/>
        <v>2020</v>
      </c>
      <c r="D4068" s="35" t="s">
        <v>320</v>
      </c>
      <c r="E4068" s="227">
        <v>43922</v>
      </c>
      <c r="F4068" s="156">
        <v>135635.29485000001</v>
      </c>
      <c r="G4068" s="131">
        <f t="shared" si="241"/>
        <v>24305.844837119999</v>
      </c>
      <c r="H4068" s="156">
        <v>1524.69</v>
      </c>
      <c r="I4068" s="156">
        <v>0</v>
      </c>
      <c r="J4068" s="156">
        <v>0</v>
      </c>
      <c r="K4068" s="131">
        <f t="shared" si="242"/>
        <v>1524.69</v>
      </c>
      <c r="L4068" s="134">
        <v>0.1792</v>
      </c>
    </row>
    <row r="4069" spans="3:12">
      <c r="C4069" s="161">
        <f t="shared" si="240"/>
        <v>2020</v>
      </c>
      <c r="D4069" s="35" t="s">
        <v>320</v>
      </c>
      <c r="E4069" s="227">
        <v>43952</v>
      </c>
      <c r="F4069" s="156">
        <v>124540.48</v>
      </c>
      <c r="G4069" s="131">
        <f t="shared" si="241"/>
        <v>22317.654016</v>
      </c>
      <c r="H4069" s="156">
        <v>0</v>
      </c>
      <c r="I4069" s="156">
        <v>0</v>
      </c>
      <c r="J4069" s="156">
        <v>0</v>
      </c>
      <c r="K4069" s="131">
        <f t="shared" si="242"/>
        <v>0</v>
      </c>
      <c r="L4069" s="134">
        <v>0.1792</v>
      </c>
    </row>
    <row r="4070" spans="3:12">
      <c r="C4070" s="161">
        <f t="shared" si="240"/>
        <v>2020</v>
      </c>
      <c r="D4070" s="35" t="s">
        <v>320</v>
      </c>
      <c r="E4070" s="227">
        <v>43983</v>
      </c>
      <c r="F4070" s="156">
        <v>115907.89</v>
      </c>
      <c r="G4070" s="131">
        <f t="shared" si="241"/>
        <v>20770.693887999998</v>
      </c>
      <c r="H4070" s="156">
        <v>15749.45</v>
      </c>
      <c r="I4070" s="156">
        <v>0</v>
      </c>
      <c r="J4070" s="156">
        <v>0</v>
      </c>
      <c r="K4070" s="131">
        <f t="shared" si="242"/>
        <v>15749.45</v>
      </c>
      <c r="L4070" s="134">
        <v>0.1792</v>
      </c>
    </row>
    <row r="4071" spans="3:12">
      <c r="C4071" s="161">
        <f t="shared" si="240"/>
        <v>2020</v>
      </c>
      <c r="D4071" s="35" t="s">
        <v>320</v>
      </c>
      <c r="E4071" s="227">
        <v>44013</v>
      </c>
      <c r="F4071" s="156">
        <v>122141.11</v>
      </c>
      <c r="G4071" s="131">
        <f t="shared" si="241"/>
        <v>21887.686912000001</v>
      </c>
      <c r="H4071" s="156">
        <v>59407.839999999997</v>
      </c>
      <c r="I4071" s="156">
        <v>0</v>
      </c>
      <c r="J4071" s="156">
        <v>0</v>
      </c>
      <c r="K4071" s="131">
        <f t="shared" si="242"/>
        <v>59407.839999999997</v>
      </c>
      <c r="L4071" s="134">
        <v>0.1792</v>
      </c>
    </row>
    <row r="4072" spans="3:12">
      <c r="C4072" s="161">
        <f t="shared" si="240"/>
        <v>2020</v>
      </c>
      <c r="D4072" s="35" t="s">
        <v>320</v>
      </c>
      <c r="E4072" s="227">
        <v>44044</v>
      </c>
      <c r="F4072" s="156">
        <v>135312.85999999999</v>
      </c>
      <c r="G4072" s="131">
        <f t="shared" si="241"/>
        <v>24248.064511999997</v>
      </c>
      <c r="H4072" s="156">
        <v>2962.16</v>
      </c>
      <c r="I4072" s="156">
        <v>0</v>
      </c>
      <c r="J4072" s="156">
        <v>0</v>
      </c>
      <c r="K4072" s="131">
        <f t="shared" si="242"/>
        <v>2962.16</v>
      </c>
      <c r="L4072" s="134">
        <v>0.1792</v>
      </c>
    </row>
    <row r="4073" spans="3:12">
      <c r="C4073" s="161">
        <f t="shared" si="240"/>
        <v>2020</v>
      </c>
      <c r="D4073" s="35" t="s">
        <v>320</v>
      </c>
      <c r="E4073" s="227">
        <v>44075</v>
      </c>
      <c r="F4073" s="156">
        <v>145245.42000000001</v>
      </c>
      <c r="G4073" s="131">
        <f t="shared" si="241"/>
        <v>26027.979264000001</v>
      </c>
      <c r="H4073" s="156">
        <v>12418.94</v>
      </c>
      <c r="I4073" s="156">
        <v>0</v>
      </c>
      <c r="J4073" s="156">
        <v>0</v>
      </c>
      <c r="K4073" s="131">
        <f t="shared" si="242"/>
        <v>12418.94</v>
      </c>
      <c r="L4073" s="134">
        <v>0.1792</v>
      </c>
    </row>
    <row r="4074" spans="3:12">
      <c r="C4074" s="161">
        <f t="shared" si="240"/>
        <v>2020</v>
      </c>
      <c r="D4074" s="35" t="s">
        <v>320</v>
      </c>
      <c r="E4074" s="227">
        <v>44105</v>
      </c>
      <c r="F4074" s="156">
        <v>154205.35</v>
      </c>
      <c r="G4074" s="131">
        <f t="shared" si="241"/>
        <v>27633.598720000002</v>
      </c>
      <c r="H4074" s="156">
        <v>2795.1</v>
      </c>
      <c r="I4074" s="156">
        <v>0</v>
      </c>
      <c r="J4074" s="156">
        <v>0</v>
      </c>
      <c r="K4074" s="131">
        <f t="shared" si="242"/>
        <v>2795.1</v>
      </c>
      <c r="L4074" s="134">
        <v>0.1792</v>
      </c>
    </row>
    <row r="4075" spans="3:12">
      <c r="C4075" s="161">
        <f t="shared" si="240"/>
        <v>2020</v>
      </c>
      <c r="D4075" s="35" t="s">
        <v>320</v>
      </c>
      <c r="E4075" s="227">
        <v>44136</v>
      </c>
      <c r="F4075" s="156">
        <v>136640.32999999999</v>
      </c>
      <c r="G4075" s="131">
        <f t="shared" si="241"/>
        <v>24485.947135999999</v>
      </c>
      <c r="H4075" s="156">
        <v>16881.509999999998</v>
      </c>
      <c r="I4075" s="156">
        <v>0</v>
      </c>
      <c r="J4075" s="156">
        <v>0</v>
      </c>
      <c r="K4075" s="131">
        <f t="shared" si="242"/>
        <v>16881.509999999998</v>
      </c>
      <c r="L4075" s="134">
        <v>0.1792</v>
      </c>
    </row>
    <row r="4076" spans="3:12">
      <c r="C4076" s="161">
        <f t="shared" si="240"/>
        <v>2020</v>
      </c>
      <c r="D4076" s="35" t="s">
        <v>320</v>
      </c>
      <c r="E4076" s="227">
        <v>44166</v>
      </c>
      <c r="F4076" s="156">
        <v>136801.04999999999</v>
      </c>
      <c r="G4076" s="131">
        <f t="shared" si="241"/>
        <v>24514.748159999999</v>
      </c>
      <c r="H4076" s="156">
        <v>635.77</v>
      </c>
      <c r="I4076" s="156">
        <v>0</v>
      </c>
      <c r="J4076" s="156">
        <v>0</v>
      </c>
      <c r="K4076" s="131">
        <f t="shared" si="242"/>
        <v>635.77</v>
      </c>
      <c r="L4076" s="134">
        <v>0.1792</v>
      </c>
    </row>
    <row r="4077" spans="3:12">
      <c r="C4077" s="161">
        <f t="shared" si="240"/>
        <v>2021</v>
      </c>
      <c r="D4077" s="35" t="s">
        <v>320</v>
      </c>
      <c r="E4077" s="227">
        <v>44197</v>
      </c>
      <c r="F4077" s="156">
        <v>135265.29999999999</v>
      </c>
      <c r="G4077" s="131">
        <f t="shared" si="241"/>
        <v>24239.541759999996</v>
      </c>
      <c r="H4077" s="156">
        <v>14165.04</v>
      </c>
      <c r="I4077" s="156">
        <v>0</v>
      </c>
      <c r="J4077" s="156">
        <v>0</v>
      </c>
      <c r="K4077" s="131">
        <f t="shared" si="242"/>
        <v>14165.04</v>
      </c>
      <c r="L4077" s="134">
        <v>0.1792</v>
      </c>
    </row>
    <row r="4078" spans="3:12">
      <c r="C4078" s="161">
        <f t="shared" si="240"/>
        <v>2021</v>
      </c>
      <c r="D4078" s="35" t="s">
        <v>320</v>
      </c>
      <c r="E4078" s="227">
        <v>44229</v>
      </c>
      <c r="F4078" s="156">
        <v>133974.85999999999</v>
      </c>
      <c r="G4078" s="131">
        <f t="shared" si="241"/>
        <v>24008.294911999998</v>
      </c>
      <c r="H4078" s="156">
        <v>7011.06</v>
      </c>
      <c r="I4078" s="156">
        <v>0</v>
      </c>
      <c r="J4078" s="156">
        <v>0</v>
      </c>
      <c r="K4078" s="131">
        <f t="shared" si="242"/>
        <v>7011.06</v>
      </c>
      <c r="L4078" s="134">
        <v>0.1792</v>
      </c>
    </row>
    <row r="4079" spans="3:12">
      <c r="C4079" s="161">
        <f t="shared" si="240"/>
        <v>2021</v>
      </c>
      <c r="D4079" s="35" t="s">
        <v>320</v>
      </c>
      <c r="E4079" s="227">
        <v>44258</v>
      </c>
      <c r="F4079" s="156">
        <v>114432.33</v>
      </c>
      <c r="G4079" s="131">
        <f t="shared" si="241"/>
        <v>20506.273536000001</v>
      </c>
      <c r="H4079" s="156">
        <v>235.28</v>
      </c>
      <c r="I4079" s="156">
        <v>0</v>
      </c>
      <c r="J4079" s="156">
        <v>0</v>
      </c>
      <c r="K4079" s="131">
        <f t="shared" si="242"/>
        <v>235.28</v>
      </c>
      <c r="L4079" s="134">
        <v>0.1792</v>
      </c>
    </row>
    <row r="4080" spans="3:12">
      <c r="C4080" s="161">
        <f t="shared" si="240"/>
        <v>2021</v>
      </c>
      <c r="D4080" s="35" t="s">
        <v>320</v>
      </c>
      <c r="E4080" s="227">
        <v>44290</v>
      </c>
      <c r="F4080" s="156">
        <v>144813.29999999999</v>
      </c>
      <c r="G4080" s="131">
        <f t="shared" si="241"/>
        <v>25950.543359999996</v>
      </c>
      <c r="H4080" s="156">
        <v>6167.32</v>
      </c>
      <c r="I4080" s="156">
        <v>0</v>
      </c>
      <c r="J4080" s="156">
        <v>0</v>
      </c>
      <c r="K4080" s="131">
        <f t="shared" si="242"/>
        <v>6167.32</v>
      </c>
      <c r="L4080" s="134">
        <v>0.1792</v>
      </c>
    </row>
    <row r="4081" spans="3:12">
      <c r="C4081" s="161">
        <f t="shared" si="240"/>
        <v>2021</v>
      </c>
      <c r="D4081" s="35" t="s">
        <v>320</v>
      </c>
      <c r="E4081" s="227">
        <v>44321</v>
      </c>
      <c r="F4081" s="156">
        <v>133141.57999999999</v>
      </c>
      <c r="G4081" s="131">
        <f t="shared" si="241"/>
        <v>23858.971135999996</v>
      </c>
      <c r="H4081" s="156">
        <v>9612.9500000000007</v>
      </c>
      <c r="I4081" s="156">
        <v>0</v>
      </c>
      <c r="J4081" s="156">
        <v>0</v>
      </c>
      <c r="K4081" s="131">
        <f t="shared" si="242"/>
        <v>9612.9500000000007</v>
      </c>
      <c r="L4081" s="134">
        <v>0.1792</v>
      </c>
    </row>
    <row r="4082" spans="3:12">
      <c r="C4082" s="161">
        <f t="shared" si="240"/>
        <v>2021</v>
      </c>
      <c r="D4082" s="35" t="s">
        <v>320</v>
      </c>
      <c r="E4082" s="227">
        <v>44353</v>
      </c>
      <c r="F4082" s="156">
        <v>131152.54</v>
      </c>
      <c r="G4082" s="131">
        <f t="shared" si="241"/>
        <v>23502.535168000002</v>
      </c>
      <c r="H4082" s="156">
        <v>0</v>
      </c>
      <c r="I4082" s="156">
        <v>0</v>
      </c>
      <c r="J4082" s="156">
        <v>0</v>
      </c>
      <c r="K4082" s="131">
        <f t="shared" si="242"/>
        <v>0</v>
      </c>
      <c r="L4082" s="134">
        <v>0.1792</v>
      </c>
    </row>
    <row r="4083" spans="3:12">
      <c r="C4083" s="161">
        <f t="shared" si="240"/>
        <v>2015</v>
      </c>
      <c r="D4083" s="35" t="s">
        <v>321</v>
      </c>
      <c r="E4083" s="227">
        <v>42309</v>
      </c>
      <c r="F4083" s="156">
        <v>149754.95000000001</v>
      </c>
      <c r="G4083" s="131">
        <f t="shared" si="241"/>
        <v>26836.087040000002</v>
      </c>
      <c r="H4083" s="156">
        <v>1728.39</v>
      </c>
      <c r="I4083" s="156">
        <v>0</v>
      </c>
      <c r="J4083" s="156">
        <v>0</v>
      </c>
      <c r="K4083" s="131">
        <f t="shared" si="242"/>
        <v>1728.39</v>
      </c>
      <c r="L4083" s="134">
        <v>0.1792</v>
      </c>
    </row>
    <row r="4084" spans="3:12">
      <c r="C4084" s="161">
        <f t="shared" si="240"/>
        <v>2015</v>
      </c>
      <c r="D4084" s="35" t="s">
        <v>321</v>
      </c>
      <c r="E4084" s="227">
        <v>42339</v>
      </c>
      <c r="F4084" s="156">
        <v>134611.42000000001</v>
      </c>
      <c r="G4084" s="131">
        <f t="shared" si="241"/>
        <v>24122.366464000002</v>
      </c>
      <c r="H4084" s="156">
        <v>297.12</v>
      </c>
      <c r="I4084" s="156">
        <v>0</v>
      </c>
      <c r="J4084" s="156">
        <v>0</v>
      </c>
      <c r="K4084" s="131">
        <f t="shared" si="242"/>
        <v>297.12</v>
      </c>
      <c r="L4084" s="134">
        <v>0.1792</v>
      </c>
    </row>
    <row r="4085" spans="3:12">
      <c r="C4085" s="161">
        <f t="shared" si="240"/>
        <v>2016</v>
      </c>
      <c r="D4085" s="35" t="s">
        <v>321</v>
      </c>
      <c r="E4085" s="227">
        <v>42370</v>
      </c>
      <c r="F4085" s="156">
        <v>155352.42000000001</v>
      </c>
      <c r="G4085" s="131">
        <f t="shared" si="241"/>
        <v>27839.153664000001</v>
      </c>
      <c r="H4085" s="156">
        <v>290.8</v>
      </c>
      <c r="I4085" s="156">
        <v>0</v>
      </c>
      <c r="J4085" s="156">
        <v>0</v>
      </c>
      <c r="K4085" s="131">
        <f t="shared" si="242"/>
        <v>290.8</v>
      </c>
      <c r="L4085" s="134">
        <v>0.1792</v>
      </c>
    </row>
    <row r="4086" spans="3:12">
      <c r="C4086" s="161">
        <f t="shared" si="240"/>
        <v>2016</v>
      </c>
      <c r="D4086" s="35" t="s">
        <v>321</v>
      </c>
      <c r="E4086" s="227">
        <v>42401</v>
      </c>
      <c r="F4086" s="156">
        <v>155692.01</v>
      </c>
      <c r="G4086" s="131">
        <f t="shared" si="241"/>
        <v>27900.008192000001</v>
      </c>
      <c r="H4086" s="156">
        <v>983.95</v>
      </c>
      <c r="I4086" s="156">
        <v>0</v>
      </c>
      <c r="J4086" s="156">
        <v>0</v>
      </c>
      <c r="K4086" s="131">
        <f t="shared" si="242"/>
        <v>983.95</v>
      </c>
      <c r="L4086" s="134">
        <v>0.1792</v>
      </c>
    </row>
    <row r="4087" spans="3:12">
      <c r="C4087" s="161">
        <f t="shared" si="240"/>
        <v>2016</v>
      </c>
      <c r="D4087" s="35" t="s">
        <v>321</v>
      </c>
      <c r="E4087" s="227">
        <v>42430</v>
      </c>
      <c r="F4087" s="156">
        <v>135402.57999999999</v>
      </c>
      <c r="G4087" s="131">
        <f t="shared" si="241"/>
        <v>24264.142335999997</v>
      </c>
      <c r="H4087" s="156">
        <v>559.28</v>
      </c>
      <c r="I4087" s="156">
        <v>0</v>
      </c>
      <c r="J4087" s="156">
        <v>0</v>
      </c>
      <c r="K4087" s="131">
        <f t="shared" si="242"/>
        <v>559.28</v>
      </c>
      <c r="L4087" s="134">
        <v>0.1792</v>
      </c>
    </row>
    <row r="4088" spans="3:12">
      <c r="C4088" s="161">
        <f t="shared" si="240"/>
        <v>2016</v>
      </c>
      <c r="D4088" s="35" t="s">
        <v>321</v>
      </c>
      <c r="E4088" s="227">
        <v>42461</v>
      </c>
      <c r="F4088" s="156">
        <v>151484.66</v>
      </c>
      <c r="G4088" s="131">
        <f t="shared" si="241"/>
        <v>27146.051072000002</v>
      </c>
      <c r="H4088" s="156">
        <v>148661.06</v>
      </c>
      <c r="I4088" s="156">
        <v>0</v>
      </c>
      <c r="J4088" s="156">
        <v>0</v>
      </c>
      <c r="K4088" s="131">
        <f t="shared" si="242"/>
        <v>148661.06</v>
      </c>
      <c r="L4088" s="134">
        <v>0.1792</v>
      </c>
    </row>
    <row r="4089" spans="3:12">
      <c r="C4089" s="161">
        <f t="shared" si="240"/>
        <v>2016</v>
      </c>
      <c r="D4089" s="35" t="s">
        <v>321</v>
      </c>
      <c r="E4089" s="227">
        <v>42491</v>
      </c>
      <c r="F4089" s="156">
        <v>142143.41</v>
      </c>
      <c r="G4089" s="131">
        <f t="shared" si="241"/>
        <v>25472.099072000001</v>
      </c>
      <c r="H4089" s="156">
        <v>145041.4</v>
      </c>
      <c r="I4089" s="156">
        <v>0</v>
      </c>
      <c r="J4089" s="156">
        <v>0</v>
      </c>
      <c r="K4089" s="131">
        <f t="shared" si="242"/>
        <v>145041.4</v>
      </c>
      <c r="L4089" s="134">
        <v>0.1792</v>
      </c>
    </row>
    <row r="4090" spans="3:12">
      <c r="C4090" s="161">
        <f t="shared" si="240"/>
        <v>2016</v>
      </c>
      <c r="D4090" s="35" t="s">
        <v>321</v>
      </c>
      <c r="E4090" s="227">
        <v>42522</v>
      </c>
      <c r="F4090" s="156">
        <v>143915.38</v>
      </c>
      <c r="G4090" s="131">
        <f t="shared" si="241"/>
        <v>25789.636096000002</v>
      </c>
      <c r="H4090" s="156">
        <v>145308.82</v>
      </c>
      <c r="I4090" s="156">
        <v>0</v>
      </c>
      <c r="J4090" s="156">
        <v>0</v>
      </c>
      <c r="K4090" s="131">
        <f t="shared" si="242"/>
        <v>145308.82</v>
      </c>
      <c r="L4090" s="134">
        <v>0.1792</v>
      </c>
    </row>
    <row r="4091" spans="3:12">
      <c r="C4091" s="161">
        <f t="shared" si="240"/>
        <v>2016</v>
      </c>
      <c r="D4091" s="35" t="s">
        <v>321</v>
      </c>
      <c r="E4091" s="227">
        <v>42552</v>
      </c>
      <c r="F4091" s="156">
        <v>155971.34</v>
      </c>
      <c r="G4091" s="131">
        <f t="shared" si="241"/>
        <v>27950.064127999998</v>
      </c>
      <c r="H4091" s="156">
        <v>984.12</v>
      </c>
      <c r="I4091" s="156">
        <v>0</v>
      </c>
      <c r="J4091" s="156">
        <v>3980</v>
      </c>
      <c r="K4091" s="131">
        <f t="shared" si="242"/>
        <v>4964.12</v>
      </c>
      <c r="L4091" s="134">
        <v>0.1792</v>
      </c>
    </row>
    <row r="4092" spans="3:12">
      <c r="C4092" s="161">
        <f t="shared" si="240"/>
        <v>2016</v>
      </c>
      <c r="D4092" s="35" t="s">
        <v>321</v>
      </c>
      <c r="E4092" s="227">
        <v>42583</v>
      </c>
      <c r="F4092" s="156">
        <v>171830.35</v>
      </c>
      <c r="G4092" s="131">
        <f t="shared" si="241"/>
        <v>30791.99872</v>
      </c>
      <c r="H4092" s="156">
        <v>146760.26999999999</v>
      </c>
      <c r="I4092" s="156">
        <v>0</v>
      </c>
      <c r="J4092" s="156">
        <v>2037</v>
      </c>
      <c r="K4092" s="131">
        <f t="shared" si="242"/>
        <v>148797.26999999999</v>
      </c>
      <c r="L4092" s="134">
        <v>0.1792</v>
      </c>
    </row>
    <row r="4093" spans="3:12">
      <c r="C4093" s="161">
        <f t="shared" si="240"/>
        <v>2016</v>
      </c>
      <c r="D4093" s="35" t="s">
        <v>321</v>
      </c>
      <c r="E4093" s="227">
        <v>42614</v>
      </c>
      <c r="F4093" s="156">
        <v>177485.67</v>
      </c>
      <c r="G4093" s="131">
        <f t="shared" si="241"/>
        <v>31805.432064000001</v>
      </c>
      <c r="H4093" s="156">
        <v>484.72</v>
      </c>
      <c r="I4093" s="156">
        <v>0</v>
      </c>
      <c r="J4093" s="156">
        <v>0</v>
      </c>
      <c r="K4093" s="131">
        <f t="shared" si="242"/>
        <v>484.72</v>
      </c>
      <c r="L4093" s="134">
        <v>0.1792</v>
      </c>
    </row>
    <row r="4094" spans="3:12">
      <c r="C4094" s="161">
        <f t="shared" si="240"/>
        <v>2016</v>
      </c>
      <c r="D4094" s="35" t="s">
        <v>321</v>
      </c>
      <c r="E4094" s="227">
        <v>42644</v>
      </c>
      <c r="F4094" s="156">
        <v>164900.16</v>
      </c>
      <c r="G4094" s="131">
        <f t="shared" si="241"/>
        <v>29550.108672000002</v>
      </c>
      <c r="H4094" s="156">
        <v>438.42</v>
      </c>
      <c r="I4094" s="156">
        <v>0</v>
      </c>
      <c r="J4094" s="156">
        <v>478.84</v>
      </c>
      <c r="K4094" s="131">
        <f t="shared" si="242"/>
        <v>917.26</v>
      </c>
      <c r="L4094" s="134">
        <v>0.1792</v>
      </c>
    </row>
    <row r="4095" spans="3:12">
      <c r="C4095" s="161">
        <f t="shared" si="240"/>
        <v>2016</v>
      </c>
      <c r="D4095" s="35" t="s">
        <v>321</v>
      </c>
      <c r="E4095" s="227">
        <v>42675</v>
      </c>
      <c r="F4095" s="156">
        <v>171333.74</v>
      </c>
      <c r="G4095" s="131">
        <f t="shared" si="241"/>
        <v>30703.006207999999</v>
      </c>
      <c r="H4095" s="156">
        <v>2098.9</v>
      </c>
      <c r="I4095" s="156">
        <v>0</v>
      </c>
      <c r="J4095" s="156">
        <v>0</v>
      </c>
      <c r="K4095" s="131">
        <f t="shared" si="242"/>
        <v>2098.9</v>
      </c>
      <c r="L4095" s="134">
        <v>0.1792</v>
      </c>
    </row>
    <row r="4096" spans="3:12">
      <c r="C4096" s="161">
        <f t="shared" si="240"/>
        <v>2016</v>
      </c>
      <c r="D4096" s="35" t="s">
        <v>321</v>
      </c>
      <c r="E4096" s="227">
        <v>42705</v>
      </c>
      <c r="F4096" s="156">
        <v>172264.48</v>
      </c>
      <c r="G4096" s="131">
        <f t="shared" si="241"/>
        <v>30869.794816000001</v>
      </c>
      <c r="H4096" s="156">
        <v>163625.06</v>
      </c>
      <c r="I4096" s="156">
        <v>0</v>
      </c>
      <c r="J4096" s="156">
        <v>0</v>
      </c>
      <c r="K4096" s="131">
        <f t="shared" si="242"/>
        <v>163625.06</v>
      </c>
      <c r="L4096" s="134">
        <v>0.1792</v>
      </c>
    </row>
    <row r="4097" spans="3:12">
      <c r="C4097" s="161">
        <f t="shared" si="240"/>
        <v>2017</v>
      </c>
      <c r="D4097" s="35" t="s">
        <v>321</v>
      </c>
      <c r="E4097" s="227">
        <v>42736</v>
      </c>
      <c r="F4097" s="156">
        <v>191389.96</v>
      </c>
      <c r="G4097" s="131">
        <f t="shared" si="241"/>
        <v>34297.080832</v>
      </c>
      <c r="H4097" s="156">
        <v>144949.54</v>
      </c>
      <c r="I4097" s="156">
        <v>0</v>
      </c>
      <c r="J4097" s="156">
        <v>602.20000000000005</v>
      </c>
      <c r="K4097" s="131">
        <f t="shared" si="242"/>
        <v>145551.74000000002</v>
      </c>
      <c r="L4097" s="134">
        <v>0.1792</v>
      </c>
    </row>
    <row r="4098" spans="3:12">
      <c r="C4098" s="161">
        <f t="shared" si="240"/>
        <v>2017</v>
      </c>
      <c r="D4098" s="35" t="s">
        <v>321</v>
      </c>
      <c r="E4098" s="227">
        <v>42767</v>
      </c>
      <c r="F4098" s="156">
        <v>178969.66</v>
      </c>
      <c r="G4098" s="131">
        <f t="shared" si="241"/>
        <v>32071.363072</v>
      </c>
      <c r="H4098" s="156">
        <v>48147.81</v>
      </c>
      <c r="I4098" s="156">
        <v>0</v>
      </c>
      <c r="J4098" s="156">
        <v>974.2</v>
      </c>
      <c r="K4098" s="131">
        <f t="shared" si="242"/>
        <v>49122.009999999995</v>
      </c>
      <c r="L4098" s="134">
        <v>0.1792</v>
      </c>
    </row>
    <row r="4099" spans="3:12">
      <c r="C4099" s="161">
        <f t="shared" si="240"/>
        <v>2017</v>
      </c>
      <c r="D4099" s="35" t="s">
        <v>321</v>
      </c>
      <c r="E4099" s="227">
        <v>42795</v>
      </c>
      <c r="F4099" s="156">
        <v>166302.64000000001</v>
      </c>
      <c r="G4099" s="131">
        <f t="shared" si="241"/>
        <v>29801.433088000002</v>
      </c>
      <c r="H4099" s="156">
        <v>43273.9</v>
      </c>
      <c r="I4099" s="156">
        <v>0</v>
      </c>
      <c r="J4099" s="156">
        <v>0</v>
      </c>
      <c r="K4099" s="131">
        <f t="shared" si="242"/>
        <v>43273.9</v>
      </c>
      <c r="L4099" s="134">
        <v>0.1792</v>
      </c>
    </row>
    <row r="4100" spans="3:12">
      <c r="C4100" s="161">
        <f t="shared" ref="C4100:C4163" si="243">YEAR(E4100)</f>
        <v>2017</v>
      </c>
      <c r="D4100" s="35" t="s">
        <v>321</v>
      </c>
      <c r="E4100" s="227">
        <v>42826</v>
      </c>
      <c r="F4100" s="156">
        <v>173258.33</v>
      </c>
      <c r="G4100" s="131">
        <f t="shared" ref="G4100:G4163" si="244">F4100*L4100</f>
        <v>31047.892735999998</v>
      </c>
      <c r="H4100" s="156">
        <v>7109.53</v>
      </c>
      <c r="I4100" s="156">
        <v>0</v>
      </c>
      <c r="J4100" s="156">
        <v>0</v>
      </c>
      <c r="K4100" s="131">
        <f t="shared" ref="K4100:K4163" si="245">SUM(H4100:J4100)</f>
        <v>7109.53</v>
      </c>
      <c r="L4100" s="134">
        <v>0.1792</v>
      </c>
    </row>
    <row r="4101" spans="3:12">
      <c r="C4101" s="161">
        <f t="shared" si="243"/>
        <v>2017</v>
      </c>
      <c r="D4101" s="35" t="s">
        <v>321</v>
      </c>
      <c r="E4101" s="227">
        <v>42856</v>
      </c>
      <c r="F4101" s="156">
        <v>158190.12</v>
      </c>
      <c r="G4101" s="131">
        <f t="shared" si="244"/>
        <v>28347.669503999998</v>
      </c>
      <c r="H4101" s="156">
        <v>1025.02</v>
      </c>
      <c r="I4101" s="156">
        <v>0</v>
      </c>
      <c r="J4101" s="156">
        <v>0</v>
      </c>
      <c r="K4101" s="131">
        <f t="shared" si="245"/>
        <v>1025.02</v>
      </c>
      <c r="L4101" s="134">
        <v>0.1792</v>
      </c>
    </row>
    <row r="4102" spans="3:12">
      <c r="C4102" s="161">
        <f t="shared" si="243"/>
        <v>2017</v>
      </c>
      <c r="D4102" s="35" t="s">
        <v>321</v>
      </c>
      <c r="E4102" s="227">
        <v>42887</v>
      </c>
      <c r="F4102" s="156">
        <v>157464.23000000001</v>
      </c>
      <c r="G4102" s="131">
        <f t="shared" si="244"/>
        <v>28217.590016000002</v>
      </c>
      <c r="H4102" s="156">
        <v>91953.35</v>
      </c>
      <c r="I4102" s="156">
        <v>0</v>
      </c>
      <c r="J4102" s="156">
        <v>0</v>
      </c>
      <c r="K4102" s="131">
        <f t="shared" si="245"/>
        <v>91953.35</v>
      </c>
      <c r="L4102" s="134">
        <v>0.1792</v>
      </c>
    </row>
    <row r="4103" spans="3:12">
      <c r="C4103" s="161">
        <f t="shared" si="243"/>
        <v>2017</v>
      </c>
      <c r="D4103" s="35" t="s">
        <v>321</v>
      </c>
      <c r="E4103" s="227">
        <v>42917</v>
      </c>
      <c r="F4103" s="156">
        <v>175440.91</v>
      </c>
      <c r="G4103" s="131">
        <f t="shared" si="244"/>
        <v>31439.011072000001</v>
      </c>
      <c r="H4103" s="156">
        <v>38456.35</v>
      </c>
      <c r="I4103" s="156">
        <v>0</v>
      </c>
      <c r="J4103" s="156">
        <v>0</v>
      </c>
      <c r="K4103" s="131">
        <f t="shared" si="245"/>
        <v>38456.35</v>
      </c>
      <c r="L4103" s="134">
        <v>0.1792</v>
      </c>
    </row>
    <row r="4104" spans="3:12">
      <c r="C4104" s="161">
        <f t="shared" si="243"/>
        <v>2017</v>
      </c>
      <c r="D4104" s="35" t="s">
        <v>321</v>
      </c>
      <c r="E4104" s="227">
        <v>42948</v>
      </c>
      <c r="F4104" s="156">
        <v>179728.52</v>
      </c>
      <c r="G4104" s="131">
        <f t="shared" si="244"/>
        <v>32207.350783999998</v>
      </c>
      <c r="H4104" s="156">
        <v>45027.07</v>
      </c>
      <c r="I4104" s="156">
        <v>0</v>
      </c>
      <c r="J4104" s="156">
        <v>0</v>
      </c>
      <c r="K4104" s="131">
        <f t="shared" si="245"/>
        <v>45027.07</v>
      </c>
      <c r="L4104" s="134">
        <v>0.1792</v>
      </c>
    </row>
    <row r="4105" spans="3:12">
      <c r="C4105" s="161">
        <f t="shared" si="243"/>
        <v>2017</v>
      </c>
      <c r="D4105" s="35" t="s">
        <v>321</v>
      </c>
      <c r="E4105" s="227">
        <v>42979</v>
      </c>
      <c r="F4105" s="156">
        <v>200984.46</v>
      </c>
      <c r="G4105" s="131">
        <f t="shared" si="244"/>
        <v>36016.415231999999</v>
      </c>
      <c r="H4105" s="156">
        <v>66454.42</v>
      </c>
      <c r="I4105" s="156">
        <v>0</v>
      </c>
      <c r="J4105" s="156">
        <v>0</v>
      </c>
      <c r="K4105" s="131">
        <f t="shared" si="245"/>
        <v>66454.42</v>
      </c>
      <c r="L4105" s="134">
        <v>0.1792</v>
      </c>
    </row>
    <row r="4106" spans="3:12">
      <c r="C4106" s="161">
        <f t="shared" si="243"/>
        <v>2017</v>
      </c>
      <c r="D4106" s="35" t="s">
        <v>321</v>
      </c>
      <c r="E4106" s="227">
        <v>43009</v>
      </c>
      <c r="F4106" s="156">
        <v>173920.06</v>
      </c>
      <c r="G4106" s="131">
        <f t="shared" si="244"/>
        <v>31166.474751999998</v>
      </c>
      <c r="H4106" s="156">
        <v>240542.93</v>
      </c>
      <c r="I4106" s="156">
        <v>0</v>
      </c>
      <c r="J4106" s="156">
        <v>0</v>
      </c>
      <c r="K4106" s="131">
        <f t="shared" si="245"/>
        <v>240542.93</v>
      </c>
      <c r="L4106" s="134">
        <v>0.1792</v>
      </c>
    </row>
    <row r="4107" spans="3:12">
      <c r="C4107" s="161">
        <f t="shared" si="243"/>
        <v>2017</v>
      </c>
      <c r="D4107" s="35" t="s">
        <v>321</v>
      </c>
      <c r="E4107" s="227">
        <v>43040</v>
      </c>
      <c r="F4107" s="156">
        <v>177653.55</v>
      </c>
      <c r="G4107" s="131">
        <f t="shared" si="244"/>
        <v>31835.516159999999</v>
      </c>
      <c r="H4107" s="156">
        <v>114100.42</v>
      </c>
      <c r="I4107" s="156">
        <v>0</v>
      </c>
      <c r="J4107" s="156">
        <v>0</v>
      </c>
      <c r="K4107" s="131">
        <f t="shared" si="245"/>
        <v>114100.42</v>
      </c>
      <c r="L4107" s="134">
        <v>0.1792</v>
      </c>
    </row>
    <row r="4108" spans="3:12">
      <c r="C4108" s="161">
        <f t="shared" si="243"/>
        <v>2017</v>
      </c>
      <c r="D4108" s="35" t="s">
        <v>321</v>
      </c>
      <c r="E4108" s="227">
        <v>43070</v>
      </c>
      <c r="F4108" s="156">
        <v>191677.04</v>
      </c>
      <c r="G4108" s="131">
        <f t="shared" si="244"/>
        <v>34348.525568000005</v>
      </c>
      <c r="H4108" s="156">
        <v>88299.98</v>
      </c>
      <c r="I4108" s="156">
        <v>0</v>
      </c>
      <c r="J4108" s="156">
        <v>0</v>
      </c>
      <c r="K4108" s="131">
        <f t="shared" si="245"/>
        <v>88299.98</v>
      </c>
      <c r="L4108" s="134">
        <v>0.1792</v>
      </c>
    </row>
    <row r="4109" spans="3:12">
      <c r="C4109" s="161">
        <f t="shared" si="243"/>
        <v>2018</v>
      </c>
      <c r="D4109" s="35" t="s">
        <v>321</v>
      </c>
      <c r="E4109" s="227">
        <v>43101</v>
      </c>
      <c r="F4109" s="156">
        <v>171370.59</v>
      </c>
      <c r="G4109" s="131">
        <f t="shared" si="244"/>
        <v>30709.609727999999</v>
      </c>
      <c r="H4109" s="156">
        <v>864.14</v>
      </c>
      <c r="I4109" s="156">
        <v>0</v>
      </c>
      <c r="J4109" s="156">
        <v>0</v>
      </c>
      <c r="K4109" s="131">
        <f t="shared" si="245"/>
        <v>864.14</v>
      </c>
      <c r="L4109" s="134">
        <v>0.1792</v>
      </c>
    </row>
    <row r="4110" spans="3:12">
      <c r="C4110" s="161">
        <f t="shared" si="243"/>
        <v>2018</v>
      </c>
      <c r="D4110" s="35" t="s">
        <v>321</v>
      </c>
      <c r="E4110" s="227">
        <v>43132</v>
      </c>
      <c r="F4110" s="156">
        <v>186895.29</v>
      </c>
      <c r="G4110" s="131">
        <f t="shared" si="244"/>
        <v>33491.635968000002</v>
      </c>
      <c r="H4110" s="156">
        <v>8880.93</v>
      </c>
      <c r="I4110" s="156">
        <v>0</v>
      </c>
      <c r="J4110" s="156">
        <v>0</v>
      </c>
      <c r="K4110" s="131">
        <f t="shared" si="245"/>
        <v>8880.93</v>
      </c>
      <c r="L4110" s="134">
        <v>0.1792</v>
      </c>
    </row>
    <row r="4111" spans="3:12">
      <c r="C4111" s="161">
        <f t="shared" si="243"/>
        <v>2018</v>
      </c>
      <c r="D4111" s="35" t="s">
        <v>321</v>
      </c>
      <c r="E4111" s="227">
        <v>43160</v>
      </c>
      <c r="F4111" s="156">
        <v>174499.44</v>
      </c>
      <c r="G4111" s="131">
        <f t="shared" si="244"/>
        <v>31270.299648</v>
      </c>
      <c r="H4111" s="156">
        <v>342.56</v>
      </c>
      <c r="I4111" s="156">
        <v>0</v>
      </c>
      <c r="J4111" s="156">
        <v>0</v>
      </c>
      <c r="K4111" s="131">
        <f t="shared" si="245"/>
        <v>342.56</v>
      </c>
      <c r="L4111" s="134">
        <v>0.1792</v>
      </c>
    </row>
    <row r="4112" spans="3:12">
      <c r="C4112" s="161">
        <f t="shared" si="243"/>
        <v>2018</v>
      </c>
      <c r="D4112" s="35" t="s">
        <v>321</v>
      </c>
      <c r="E4112" s="227">
        <v>43191</v>
      </c>
      <c r="F4112" s="156">
        <v>180386.66</v>
      </c>
      <c r="G4112" s="131">
        <f t="shared" si="244"/>
        <v>32325.289472</v>
      </c>
      <c r="H4112" s="156">
        <v>202900.08</v>
      </c>
      <c r="I4112" s="156">
        <v>0</v>
      </c>
      <c r="J4112" s="156">
        <v>0</v>
      </c>
      <c r="K4112" s="131">
        <f t="shared" si="245"/>
        <v>202900.08</v>
      </c>
      <c r="L4112" s="134">
        <v>0.1792</v>
      </c>
    </row>
    <row r="4113" spans="3:12">
      <c r="C4113" s="161">
        <f t="shared" si="243"/>
        <v>2018</v>
      </c>
      <c r="D4113" s="35" t="s">
        <v>321</v>
      </c>
      <c r="E4113" s="227">
        <v>43221</v>
      </c>
      <c r="F4113" s="156">
        <v>186354.23</v>
      </c>
      <c r="G4113" s="131">
        <f t="shared" si="244"/>
        <v>33394.678015999998</v>
      </c>
      <c r="H4113" s="156">
        <v>99.98</v>
      </c>
      <c r="I4113" s="156">
        <v>0</v>
      </c>
      <c r="J4113" s="156">
        <v>0</v>
      </c>
      <c r="K4113" s="131">
        <f t="shared" si="245"/>
        <v>99.98</v>
      </c>
      <c r="L4113" s="134">
        <v>0.1792</v>
      </c>
    </row>
    <row r="4114" spans="3:12">
      <c r="C4114" s="161">
        <f t="shared" si="243"/>
        <v>2018</v>
      </c>
      <c r="D4114" s="35" t="s">
        <v>321</v>
      </c>
      <c r="E4114" s="227">
        <v>43252</v>
      </c>
      <c r="F4114" s="156">
        <v>172144.1</v>
      </c>
      <c r="G4114" s="131">
        <f t="shared" si="244"/>
        <v>30848.222720000002</v>
      </c>
      <c r="H4114" s="156">
        <v>457.86</v>
      </c>
      <c r="I4114" s="156">
        <v>0</v>
      </c>
      <c r="J4114" s="156">
        <v>2010</v>
      </c>
      <c r="K4114" s="131">
        <f t="shared" si="245"/>
        <v>2467.86</v>
      </c>
      <c r="L4114" s="134">
        <v>0.1792</v>
      </c>
    </row>
    <row r="4115" spans="3:12">
      <c r="C4115" s="161">
        <f t="shared" si="243"/>
        <v>2018</v>
      </c>
      <c r="D4115" s="35" t="s">
        <v>321</v>
      </c>
      <c r="E4115" s="227">
        <v>43282</v>
      </c>
      <c r="F4115" s="156">
        <v>179536.84</v>
      </c>
      <c r="G4115" s="131">
        <f t="shared" si="244"/>
        <v>32173.001727999999</v>
      </c>
      <c r="H4115" s="156">
        <v>126741.26</v>
      </c>
      <c r="I4115" s="156">
        <v>0</v>
      </c>
      <c r="J4115" s="156">
        <v>0</v>
      </c>
      <c r="K4115" s="131">
        <f t="shared" si="245"/>
        <v>126741.26</v>
      </c>
      <c r="L4115" s="134">
        <v>0.1792</v>
      </c>
    </row>
    <row r="4116" spans="3:12">
      <c r="C4116" s="161">
        <f t="shared" si="243"/>
        <v>2018</v>
      </c>
      <c r="D4116" s="35" t="s">
        <v>321</v>
      </c>
      <c r="E4116" s="227">
        <v>43313</v>
      </c>
      <c r="F4116" s="156">
        <v>173457.64</v>
      </c>
      <c r="G4116" s="131">
        <f t="shared" si="244"/>
        <v>31083.609088000001</v>
      </c>
      <c r="H4116" s="156">
        <v>268.48</v>
      </c>
      <c r="I4116" s="156">
        <v>0</v>
      </c>
      <c r="J4116" s="156">
        <v>0</v>
      </c>
      <c r="K4116" s="131">
        <f t="shared" si="245"/>
        <v>268.48</v>
      </c>
      <c r="L4116" s="134">
        <v>0.1792</v>
      </c>
    </row>
    <row r="4117" spans="3:12">
      <c r="C4117" s="161">
        <f t="shared" si="243"/>
        <v>2018</v>
      </c>
      <c r="D4117" s="35" t="s">
        <v>321</v>
      </c>
      <c r="E4117" s="227">
        <v>43344</v>
      </c>
      <c r="F4117" s="156">
        <v>180465.99</v>
      </c>
      <c r="G4117" s="131">
        <f t="shared" si="244"/>
        <v>32339.505407999997</v>
      </c>
      <c r="H4117" s="156">
        <v>295.74</v>
      </c>
      <c r="I4117" s="156">
        <v>0</v>
      </c>
      <c r="J4117" s="156">
        <v>0</v>
      </c>
      <c r="K4117" s="131">
        <f t="shared" si="245"/>
        <v>295.74</v>
      </c>
      <c r="L4117" s="134">
        <v>0.1792</v>
      </c>
    </row>
    <row r="4118" spans="3:12">
      <c r="C4118" s="161">
        <f t="shared" si="243"/>
        <v>2018</v>
      </c>
      <c r="D4118" s="35" t="s">
        <v>321</v>
      </c>
      <c r="E4118" s="227">
        <v>43374</v>
      </c>
      <c r="F4118" s="156">
        <v>173736.66</v>
      </c>
      <c r="G4118" s="131">
        <f t="shared" si="244"/>
        <v>31133.609472</v>
      </c>
      <c r="H4118" s="156">
        <v>52090.38</v>
      </c>
      <c r="I4118" s="156">
        <v>0</v>
      </c>
      <c r="J4118" s="156">
        <v>0</v>
      </c>
      <c r="K4118" s="131">
        <f t="shared" si="245"/>
        <v>52090.38</v>
      </c>
      <c r="L4118" s="134">
        <v>0.1792</v>
      </c>
    </row>
    <row r="4119" spans="3:12">
      <c r="C4119" s="161">
        <f t="shared" si="243"/>
        <v>2018</v>
      </c>
      <c r="D4119" s="35" t="s">
        <v>321</v>
      </c>
      <c r="E4119" s="227">
        <v>43405</v>
      </c>
      <c r="F4119" s="156">
        <v>191445.61012500001</v>
      </c>
      <c r="G4119" s="131">
        <f t="shared" si="244"/>
        <v>34307.0533344</v>
      </c>
      <c r="H4119" s="156">
        <v>52297.23</v>
      </c>
      <c r="I4119" s="156">
        <v>0</v>
      </c>
      <c r="J4119" s="156">
        <v>43222.5</v>
      </c>
      <c r="K4119" s="131">
        <f t="shared" si="245"/>
        <v>95519.73000000001</v>
      </c>
      <c r="L4119" s="134">
        <v>0.1792</v>
      </c>
    </row>
    <row r="4120" spans="3:12">
      <c r="C4120" s="161">
        <f t="shared" si="243"/>
        <v>2018</v>
      </c>
      <c r="D4120" s="35" t="s">
        <v>321</v>
      </c>
      <c r="E4120" s="227">
        <v>43435</v>
      </c>
      <c r="F4120" s="156">
        <v>199456.39</v>
      </c>
      <c r="G4120" s="131">
        <f t="shared" si="244"/>
        <v>35742.585088</v>
      </c>
      <c r="H4120" s="156">
        <v>18269.259999999998</v>
      </c>
      <c r="I4120" s="156">
        <v>0</v>
      </c>
      <c r="J4120" s="156">
        <v>0</v>
      </c>
      <c r="K4120" s="131">
        <f t="shared" si="245"/>
        <v>18269.259999999998</v>
      </c>
      <c r="L4120" s="134">
        <v>0.1792</v>
      </c>
    </row>
    <row r="4121" spans="3:12">
      <c r="C4121" s="161">
        <f t="shared" si="243"/>
        <v>2019</v>
      </c>
      <c r="D4121" s="35" t="s">
        <v>321</v>
      </c>
      <c r="E4121" s="227">
        <v>43466</v>
      </c>
      <c r="F4121" s="156">
        <v>203768.88</v>
      </c>
      <c r="G4121" s="131">
        <f t="shared" si="244"/>
        <v>36515.383296</v>
      </c>
      <c r="H4121" s="156">
        <v>227.69</v>
      </c>
      <c r="I4121" s="156">
        <v>0</v>
      </c>
      <c r="J4121" s="156">
        <v>0</v>
      </c>
      <c r="K4121" s="131">
        <f t="shared" si="245"/>
        <v>227.69</v>
      </c>
      <c r="L4121" s="134">
        <v>0.1792</v>
      </c>
    </row>
    <row r="4122" spans="3:12">
      <c r="C4122" s="161">
        <f t="shared" si="243"/>
        <v>2019</v>
      </c>
      <c r="D4122" s="35" t="s">
        <v>321</v>
      </c>
      <c r="E4122" s="227">
        <v>43497</v>
      </c>
      <c r="F4122" s="156">
        <v>202579.22</v>
      </c>
      <c r="G4122" s="131">
        <f t="shared" si="244"/>
        <v>36302.196223999999</v>
      </c>
      <c r="H4122" s="156">
        <v>23854.880000000001</v>
      </c>
      <c r="I4122" s="156">
        <v>0</v>
      </c>
      <c r="J4122" s="156">
        <v>0</v>
      </c>
      <c r="K4122" s="131">
        <f t="shared" si="245"/>
        <v>23854.880000000001</v>
      </c>
      <c r="L4122" s="134">
        <v>0.1792</v>
      </c>
    </row>
    <row r="4123" spans="3:12">
      <c r="C4123" s="161">
        <f t="shared" si="243"/>
        <v>2019</v>
      </c>
      <c r="D4123" s="35" t="s">
        <v>321</v>
      </c>
      <c r="E4123" s="227">
        <v>43525</v>
      </c>
      <c r="F4123" s="156">
        <v>171520.16</v>
      </c>
      <c r="G4123" s="131">
        <f t="shared" si="244"/>
        <v>30736.412671999999</v>
      </c>
      <c r="H4123" s="156">
        <v>413.6</v>
      </c>
      <c r="I4123" s="156">
        <v>0</v>
      </c>
      <c r="J4123" s="156">
        <v>0</v>
      </c>
      <c r="K4123" s="131">
        <f t="shared" si="245"/>
        <v>413.6</v>
      </c>
      <c r="L4123" s="134">
        <v>0.1792</v>
      </c>
    </row>
    <row r="4124" spans="3:12">
      <c r="C4124" s="161">
        <f t="shared" si="243"/>
        <v>2019</v>
      </c>
      <c r="D4124" s="35" t="s">
        <v>321</v>
      </c>
      <c r="E4124" s="227">
        <v>43556</v>
      </c>
      <c r="F4124" s="156">
        <v>186047.35999999999</v>
      </c>
      <c r="G4124" s="131">
        <f t="shared" si="244"/>
        <v>33339.686911999997</v>
      </c>
      <c r="H4124" s="156">
        <v>18023.13</v>
      </c>
      <c r="I4124" s="156">
        <v>0</v>
      </c>
      <c r="J4124" s="156">
        <v>0</v>
      </c>
      <c r="K4124" s="131">
        <f t="shared" si="245"/>
        <v>18023.13</v>
      </c>
      <c r="L4124" s="134">
        <v>0.1792</v>
      </c>
    </row>
    <row r="4125" spans="3:12">
      <c r="C4125" s="161">
        <f t="shared" si="243"/>
        <v>2019</v>
      </c>
      <c r="D4125" s="35" t="s">
        <v>321</v>
      </c>
      <c r="E4125" s="227">
        <v>43586</v>
      </c>
      <c r="F4125" s="156">
        <v>178707.08</v>
      </c>
      <c r="G4125" s="131">
        <f t="shared" si="244"/>
        <v>32024.308735999999</v>
      </c>
      <c r="H4125" s="156">
        <v>632.93600000000004</v>
      </c>
      <c r="I4125" s="156">
        <v>0</v>
      </c>
      <c r="J4125" s="156">
        <v>0</v>
      </c>
      <c r="K4125" s="131">
        <f t="shared" si="245"/>
        <v>632.93600000000004</v>
      </c>
      <c r="L4125" s="134">
        <v>0.1792</v>
      </c>
    </row>
    <row r="4126" spans="3:12">
      <c r="C4126" s="161">
        <f t="shared" si="243"/>
        <v>2019</v>
      </c>
      <c r="D4126" s="35" t="s">
        <v>321</v>
      </c>
      <c r="E4126" s="227">
        <v>43617</v>
      </c>
      <c r="F4126" s="156">
        <v>182883.02</v>
      </c>
      <c r="G4126" s="131">
        <f t="shared" si="244"/>
        <v>32772.637183999999</v>
      </c>
      <c r="H4126" s="156">
        <v>21055.4</v>
      </c>
      <c r="I4126" s="156">
        <v>0</v>
      </c>
      <c r="J4126" s="156">
        <v>0</v>
      </c>
      <c r="K4126" s="131">
        <f t="shared" si="245"/>
        <v>21055.4</v>
      </c>
      <c r="L4126" s="134">
        <v>0.1792</v>
      </c>
    </row>
    <row r="4127" spans="3:12">
      <c r="C4127" s="161">
        <f t="shared" si="243"/>
        <v>2019</v>
      </c>
      <c r="D4127" s="35" t="s">
        <v>321</v>
      </c>
      <c r="E4127" s="227">
        <v>43647</v>
      </c>
      <c r="F4127" s="156">
        <v>174283.79</v>
      </c>
      <c r="G4127" s="131">
        <f t="shared" si="244"/>
        <v>31231.655168000001</v>
      </c>
      <c r="H4127" s="156">
        <v>12378.76</v>
      </c>
      <c r="I4127" s="156">
        <v>0</v>
      </c>
      <c r="J4127" s="156">
        <v>0</v>
      </c>
      <c r="K4127" s="131">
        <f t="shared" si="245"/>
        <v>12378.76</v>
      </c>
      <c r="L4127" s="134">
        <v>0.1792</v>
      </c>
    </row>
    <row r="4128" spans="3:12">
      <c r="C4128" s="161">
        <f t="shared" si="243"/>
        <v>2019</v>
      </c>
      <c r="D4128" s="35" t="s">
        <v>321</v>
      </c>
      <c r="E4128" s="227">
        <v>43678</v>
      </c>
      <c r="F4128" s="156">
        <v>195720.08</v>
      </c>
      <c r="G4128" s="131">
        <f t="shared" si="244"/>
        <v>35073.038335999998</v>
      </c>
      <c r="H4128" s="156">
        <v>933.38</v>
      </c>
      <c r="I4128" s="156">
        <v>0</v>
      </c>
      <c r="J4128" s="156">
        <v>0</v>
      </c>
      <c r="K4128" s="131">
        <f t="shared" si="245"/>
        <v>933.38</v>
      </c>
      <c r="L4128" s="134">
        <v>0.1792</v>
      </c>
    </row>
    <row r="4129" spans="3:12">
      <c r="C4129" s="161">
        <f t="shared" si="243"/>
        <v>2019</v>
      </c>
      <c r="D4129" s="35" t="s">
        <v>321</v>
      </c>
      <c r="E4129" s="227">
        <v>43709</v>
      </c>
      <c r="F4129" s="156">
        <v>197962.39</v>
      </c>
      <c r="G4129" s="131">
        <f t="shared" si="244"/>
        <v>35474.860288000003</v>
      </c>
      <c r="H4129" s="156">
        <v>263.95999999999998</v>
      </c>
      <c r="I4129" s="156">
        <v>0</v>
      </c>
      <c r="J4129" s="156">
        <v>0</v>
      </c>
      <c r="K4129" s="131">
        <f t="shared" si="245"/>
        <v>263.95999999999998</v>
      </c>
      <c r="L4129" s="134">
        <v>0.1792</v>
      </c>
    </row>
    <row r="4130" spans="3:12">
      <c r="C4130" s="161">
        <f t="shared" si="243"/>
        <v>2019</v>
      </c>
      <c r="D4130" s="35" t="s">
        <v>321</v>
      </c>
      <c r="E4130" s="227">
        <v>43739</v>
      </c>
      <c r="F4130" s="156">
        <v>202173.84</v>
      </c>
      <c r="G4130" s="131">
        <f t="shared" si="244"/>
        <v>36229.552127999996</v>
      </c>
      <c r="H4130" s="156">
        <v>119.56</v>
      </c>
      <c r="I4130" s="156">
        <v>0</v>
      </c>
      <c r="J4130" s="156">
        <v>0</v>
      </c>
      <c r="K4130" s="131">
        <f t="shared" si="245"/>
        <v>119.56</v>
      </c>
      <c r="L4130" s="134">
        <v>0.1792</v>
      </c>
    </row>
    <row r="4131" spans="3:12">
      <c r="C4131" s="161">
        <f t="shared" si="243"/>
        <v>2019</v>
      </c>
      <c r="D4131" s="35" t="s">
        <v>321</v>
      </c>
      <c r="E4131" s="227">
        <v>43770</v>
      </c>
      <c r="F4131" s="156">
        <v>218635.25</v>
      </c>
      <c r="G4131" s="131">
        <f t="shared" si="244"/>
        <v>39179.436800000003</v>
      </c>
      <c r="H4131" s="156">
        <v>0</v>
      </c>
      <c r="I4131" s="156">
        <v>0</v>
      </c>
      <c r="J4131" s="156">
        <v>0</v>
      </c>
      <c r="K4131" s="131">
        <f t="shared" si="245"/>
        <v>0</v>
      </c>
      <c r="L4131" s="134">
        <v>0.1792</v>
      </c>
    </row>
    <row r="4132" spans="3:12">
      <c r="C4132" s="161">
        <f t="shared" si="243"/>
        <v>2019</v>
      </c>
      <c r="D4132" s="35" t="s">
        <v>321</v>
      </c>
      <c r="E4132" s="227">
        <v>43800</v>
      </c>
      <c r="F4132" s="156">
        <v>189239.34</v>
      </c>
      <c r="G4132" s="131">
        <f t="shared" si="244"/>
        <v>33911.689727999998</v>
      </c>
      <c r="H4132" s="156">
        <v>389.14</v>
      </c>
      <c r="I4132" s="156">
        <v>0</v>
      </c>
      <c r="J4132" s="156">
        <v>0</v>
      </c>
      <c r="K4132" s="131">
        <f t="shared" si="245"/>
        <v>389.14</v>
      </c>
      <c r="L4132" s="134">
        <v>0.1792</v>
      </c>
    </row>
    <row r="4133" spans="3:12">
      <c r="C4133" s="161">
        <f t="shared" si="243"/>
        <v>2020</v>
      </c>
      <c r="D4133" s="35" t="s">
        <v>321</v>
      </c>
      <c r="E4133" s="227">
        <v>43831</v>
      </c>
      <c r="F4133" s="156">
        <v>196937.49</v>
      </c>
      <c r="G4133" s="131">
        <f t="shared" si="244"/>
        <v>35291.198207999994</v>
      </c>
      <c r="H4133" s="156">
        <v>288.41000000000003</v>
      </c>
      <c r="I4133" s="156">
        <v>0</v>
      </c>
      <c r="J4133" s="156">
        <v>0</v>
      </c>
      <c r="K4133" s="131">
        <f t="shared" si="245"/>
        <v>288.41000000000003</v>
      </c>
      <c r="L4133" s="134">
        <v>0.1792</v>
      </c>
    </row>
    <row r="4134" spans="3:12">
      <c r="C4134" s="161">
        <f t="shared" si="243"/>
        <v>2020</v>
      </c>
      <c r="D4134" s="35" t="s">
        <v>321</v>
      </c>
      <c r="E4134" s="227">
        <v>43862</v>
      </c>
      <c r="F4134" s="156">
        <v>193420.38</v>
      </c>
      <c r="G4134" s="131">
        <f t="shared" si="244"/>
        <v>34660.932096000004</v>
      </c>
      <c r="H4134" s="156">
        <v>10083.700000000001</v>
      </c>
      <c r="I4134" s="156">
        <v>0</v>
      </c>
      <c r="J4134" s="156">
        <v>0</v>
      </c>
      <c r="K4134" s="131">
        <f t="shared" si="245"/>
        <v>10083.700000000001</v>
      </c>
      <c r="L4134" s="134">
        <v>0.1792</v>
      </c>
    </row>
    <row r="4135" spans="3:12">
      <c r="C4135" s="161">
        <f t="shared" si="243"/>
        <v>2020</v>
      </c>
      <c r="D4135" s="35" t="s">
        <v>321</v>
      </c>
      <c r="E4135" s="227">
        <v>43891</v>
      </c>
      <c r="F4135" s="156">
        <v>189893.113575</v>
      </c>
      <c r="G4135" s="131">
        <f t="shared" si="244"/>
        <v>34028.845952639997</v>
      </c>
      <c r="H4135" s="156">
        <v>20450.71</v>
      </c>
      <c r="I4135" s="156">
        <v>0</v>
      </c>
      <c r="J4135" s="156">
        <v>0</v>
      </c>
      <c r="K4135" s="131">
        <f t="shared" si="245"/>
        <v>20450.71</v>
      </c>
      <c r="L4135" s="134">
        <v>0.1792</v>
      </c>
    </row>
    <row r="4136" spans="3:12">
      <c r="C4136" s="161">
        <f t="shared" si="243"/>
        <v>2020</v>
      </c>
      <c r="D4136" s="35" t="s">
        <v>321</v>
      </c>
      <c r="E4136" s="227">
        <v>43922</v>
      </c>
      <c r="F4136" s="156">
        <v>191126.08845000001</v>
      </c>
      <c r="G4136" s="131">
        <f t="shared" si="244"/>
        <v>34249.795050239998</v>
      </c>
      <c r="H4136" s="156">
        <v>936.59</v>
      </c>
      <c r="I4136" s="156">
        <v>0</v>
      </c>
      <c r="J4136" s="156">
        <v>0</v>
      </c>
      <c r="K4136" s="131">
        <f t="shared" si="245"/>
        <v>936.59</v>
      </c>
      <c r="L4136" s="134">
        <v>0.1792</v>
      </c>
    </row>
    <row r="4137" spans="3:12">
      <c r="C4137" s="161">
        <f t="shared" si="243"/>
        <v>2020</v>
      </c>
      <c r="D4137" s="35" t="s">
        <v>321</v>
      </c>
      <c r="E4137" s="227">
        <v>43952</v>
      </c>
      <c r="F4137" s="156">
        <v>190257.18</v>
      </c>
      <c r="G4137" s="131">
        <f t="shared" si="244"/>
        <v>34094.086655999999</v>
      </c>
      <c r="H4137" s="156">
        <v>342.63</v>
      </c>
      <c r="I4137" s="156">
        <v>0</v>
      </c>
      <c r="J4137" s="156">
        <v>0</v>
      </c>
      <c r="K4137" s="131">
        <f t="shared" si="245"/>
        <v>342.63</v>
      </c>
      <c r="L4137" s="134">
        <v>0.1792</v>
      </c>
    </row>
    <row r="4138" spans="3:12">
      <c r="C4138" s="161">
        <f t="shared" si="243"/>
        <v>2020</v>
      </c>
      <c r="D4138" s="35" t="s">
        <v>321</v>
      </c>
      <c r="E4138" s="227">
        <v>43983</v>
      </c>
      <c r="F4138" s="156">
        <v>180673.88</v>
      </c>
      <c r="G4138" s="131">
        <f t="shared" si="244"/>
        <v>32376.759296</v>
      </c>
      <c r="H4138" s="156">
        <v>12791.32</v>
      </c>
      <c r="I4138" s="156">
        <v>0</v>
      </c>
      <c r="J4138" s="156">
        <v>0</v>
      </c>
      <c r="K4138" s="131">
        <f t="shared" si="245"/>
        <v>12791.32</v>
      </c>
      <c r="L4138" s="134">
        <v>0.1792</v>
      </c>
    </row>
    <row r="4139" spans="3:12">
      <c r="C4139" s="161">
        <f t="shared" si="243"/>
        <v>2020</v>
      </c>
      <c r="D4139" s="35" t="s">
        <v>321</v>
      </c>
      <c r="E4139" s="227">
        <v>44013</v>
      </c>
      <c r="F4139" s="156">
        <v>180662.06</v>
      </c>
      <c r="G4139" s="131">
        <f t="shared" si="244"/>
        <v>32374.641152</v>
      </c>
      <c r="H4139" s="156">
        <v>1075.2</v>
      </c>
      <c r="I4139" s="156">
        <v>0</v>
      </c>
      <c r="J4139" s="156">
        <v>0</v>
      </c>
      <c r="K4139" s="131">
        <f t="shared" si="245"/>
        <v>1075.2</v>
      </c>
      <c r="L4139" s="134">
        <v>0.1792</v>
      </c>
    </row>
    <row r="4140" spans="3:12">
      <c r="C4140" s="161">
        <f t="shared" si="243"/>
        <v>2020</v>
      </c>
      <c r="D4140" s="35" t="s">
        <v>321</v>
      </c>
      <c r="E4140" s="227">
        <v>44044</v>
      </c>
      <c r="F4140" s="156">
        <v>194093.6</v>
      </c>
      <c r="G4140" s="131">
        <f t="shared" si="244"/>
        <v>34781.573120000001</v>
      </c>
      <c r="H4140" s="156">
        <v>297.14999999999998</v>
      </c>
      <c r="I4140" s="156">
        <v>37052.57</v>
      </c>
      <c r="J4140" s="156">
        <v>0</v>
      </c>
      <c r="K4140" s="131">
        <f t="shared" si="245"/>
        <v>37349.72</v>
      </c>
      <c r="L4140" s="134">
        <v>0.1792</v>
      </c>
    </row>
    <row r="4141" spans="3:12">
      <c r="C4141" s="161">
        <f t="shared" si="243"/>
        <v>2020</v>
      </c>
      <c r="D4141" s="35" t="s">
        <v>321</v>
      </c>
      <c r="E4141" s="227">
        <v>44075</v>
      </c>
      <c r="F4141" s="156">
        <v>202037.59</v>
      </c>
      <c r="G4141" s="131">
        <f t="shared" si="244"/>
        <v>36205.136127999998</v>
      </c>
      <c r="H4141" s="156">
        <v>522.62</v>
      </c>
      <c r="I4141" s="156">
        <v>185741.22</v>
      </c>
      <c r="J4141" s="156">
        <v>0</v>
      </c>
      <c r="K4141" s="131">
        <f t="shared" si="245"/>
        <v>186263.84</v>
      </c>
      <c r="L4141" s="134">
        <v>0.1792</v>
      </c>
    </row>
    <row r="4142" spans="3:12">
      <c r="C4142" s="161">
        <f t="shared" si="243"/>
        <v>2020</v>
      </c>
      <c r="D4142" s="35" t="s">
        <v>321</v>
      </c>
      <c r="E4142" s="227">
        <v>44105</v>
      </c>
      <c r="F4142" s="156">
        <v>227379.73</v>
      </c>
      <c r="G4142" s="131">
        <f t="shared" si="244"/>
        <v>40746.447616000005</v>
      </c>
      <c r="H4142" s="156">
        <v>1271.48</v>
      </c>
      <c r="I4142" s="156">
        <v>154704.94</v>
      </c>
      <c r="J4142" s="156">
        <v>0</v>
      </c>
      <c r="K4142" s="131">
        <f t="shared" si="245"/>
        <v>155976.42000000001</v>
      </c>
      <c r="L4142" s="134">
        <v>0.1792</v>
      </c>
    </row>
    <row r="4143" spans="3:12">
      <c r="C4143" s="161">
        <f t="shared" si="243"/>
        <v>2020</v>
      </c>
      <c r="D4143" s="35" t="s">
        <v>321</v>
      </c>
      <c r="E4143" s="227">
        <v>44136</v>
      </c>
      <c r="F4143" s="156">
        <v>206452.68</v>
      </c>
      <c r="G4143" s="131">
        <f t="shared" si="244"/>
        <v>36996.320255999999</v>
      </c>
      <c r="H4143" s="156">
        <v>430.02</v>
      </c>
      <c r="I4143" s="156">
        <v>183390.33</v>
      </c>
      <c r="J4143" s="156">
        <v>0</v>
      </c>
      <c r="K4143" s="131">
        <f t="shared" si="245"/>
        <v>183820.34999999998</v>
      </c>
      <c r="L4143" s="134">
        <v>0.1792</v>
      </c>
    </row>
    <row r="4144" spans="3:12">
      <c r="C4144" s="161">
        <f t="shared" si="243"/>
        <v>2020</v>
      </c>
      <c r="D4144" s="35" t="s">
        <v>321</v>
      </c>
      <c r="E4144" s="227">
        <v>44166</v>
      </c>
      <c r="F4144" s="156">
        <v>196806.44</v>
      </c>
      <c r="G4144" s="131">
        <f t="shared" si="244"/>
        <v>35267.714048000002</v>
      </c>
      <c r="H4144" s="156">
        <v>482.33</v>
      </c>
      <c r="I4144" s="156">
        <v>227003.8</v>
      </c>
      <c r="J4144" s="156">
        <v>0</v>
      </c>
      <c r="K4144" s="131">
        <f t="shared" si="245"/>
        <v>227486.12999999998</v>
      </c>
      <c r="L4144" s="134">
        <v>0.1792</v>
      </c>
    </row>
    <row r="4145" spans="3:12">
      <c r="C4145" s="161">
        <f t="shared" si="243"/>
        <v>2021</v>
      </c>
      <c r="D4145" s="35" t="s">
        <v>321</v>
      </c>
      <c r="E4145" s="227">
        <v>44197</v>
      </c>
      <c r="F4145" s="156">
        <v>197011.32</v>
      </c>
      <c r="G4145" s="131">
        <f t="shared" si="244"/>
        <v>35304.428544000002</v>
      </c>
      <c r="H4145" s="156">
        <v>215.85</v>
      </c>
      <c r="I4145" s="156">
        <v>0</v>
      </c>
      <c r="J4145" s="156">
        <v>0</v>
      </c>
      <c r="K4145" s="131">
        <f t="shared" si="245"/>
        <v>215.85</v>
      </c>
      <c r="L4145" s="134">
        <v>0.1792</v>
      </c>
    </row>
    <row r="4146" spans="3:12">
      <c r="C4146" s="161">
        <f t="shared" si="243"/>
        <v>2021</v>
      </c>
      <c r="D4146" s="35" t="s">
        <v>321</v>
      </c>
      <c r="E4146" s="227">
        <v>44229</v>
      </c>
      <c r="F4146" s="156">
        <v>192775.57</v>
      </c>
      <c r="G4146" s="131">
        <f t="shared" si="244"/>
        <v>34545.382144000003</v>
      </c>
      <c r="H4146" s="156">
        <v>185.43</v>
      </c>
      <c r="I4146" s="156">
        <v>93064.3</v>
      </c>
      <c r="J4146" s="156">
        <v>0</v>
      </c>
      <c r="K4146" s="131">
        <f t="shared" si="245"/>
        <v>93249.73</v>
      </c>
      <c r="L4146" s="134">
        <v>0.1792</v>
      </c>
    </row>
    <row r="4147" spans="3:12">
      <c r="C4147" s="161">
        <f t="shared" si="243"/>
        <v>2021</v>
      </c>
      <c r="D4147" s="35" t="s">
        <v>321</v>
      </c>
      <c r="E4147" s="227">
        <v>44258</v>
      </c>
      <c r="F4147" s="156">
        <v>191544.59</v>
      </c>
      <c r="G4147" s="131">
        <f t="shared" si="244"/>
        <v>34324.790527999998</v>
      </c>
      <c r="H4147" s="156">
        <v>375.28</v>
      </c>
      <c r="I4147" s="156">
        <v>80216.47</v>
      </c>
      <c r="J4147" s="156">
        <v>0</v>
      </c>
      <c r="K4147" s="131">
        <f t="shared" si="245"/>
        <v>80591.75</v>
      </c>
      <c r="L4147" s="134">
        <v>0.1792</v>
      </c>
    </row>
    <row r="4148" spans="3:12">
      <c r="C4148" s="161">
        <f t="shared" si="243"/>
        <v>2021</v>
      </c>
      <c r="D4148" s="35" t="s">
        <v>321</v>
      </c>
      <c r="E4148" s="227">
        <v>44290</v>
      </c>
      <c r="F4148" s="156">
        <v>203885.86</v>
      </c>
      <c r="G4148" s="131">
        <f t="shared" si="244"/>
        <v>36536.346111999999</v>
      </c>
      <c r="H4148" s="156">
        <v>8252.5300000000007</v>
      </c>
      <c r="I4148" s="156">
        <v>84210.04</v>
      </c>
      <c r="J4148" s="156">
        <v>6499.9</v>
      </c>
      <c r="K4148" s="131">
        <f t="shared" si="245"/>
        <v>98962.469999999987</v>
      </c>
      <c r="L4148" s="134">
        <v>0.1792</v>
      </c>
    </row>
    <row r="4149" spans="3:12">
      <c r="C4149" s="161">
        <f t="shared" si="243"/>
        <v>2021</v>
      </c>
      <c r="D4149" s="35" t="s">
        <v>321</v>
      </c>
      <c r="E4149" s="227">
        <v>44321</v>
      </c>
      <c r="F4149" s="156">
        <v>185777.01</v>
      </c>
      <c r="G4149" s="131">
        <f t="shared" si="244"/>
        <v>33291.240192000005</v>
      </c>
      <c r="H4149" s="156">
        <v>862.98</v>
      </c>
      <c r="I4149" s="156">
        <v>80351.210000000006</v>
      </c>
      <c r="J4149" s="156">
        <v>0</v>
      </c>
      <c r="K4149" s="131">
        <f t="shared" si="245"/>
        <v>81214.19</v>
      </c>
      <c r="L4149" s="134">
        <v>0.1792</v>
      </c>
    </row>
    <row r="4150" spans="3:12">
      <c r="C4150" s="161">
        <f t="shared" si="243"/>
        <v>2021</v>
      </c>
      <c r="D4150" s="35" t="s">
        <v>321</v>
      </c>
      <c r="E4150" s="227">
        <v>44353</v>
      </c>
      <c r="F4150" s="156">
        <v>185871.99</v>
      </c>
      <c r="G4150" s="131">
        <f t="shared" si="244"/>
        <v>33308.260607999997</v>
      </c>
      <c r="H4150" s="156">
        <v>3796.49</v>
      </c>
      <c r="I4150" s="156">
        <v>113623.16</v>
      </c>
      <c r="J4150" s="156">
        <v>0</v>
      </c>
      <c r="K4150" s="131">
        <f t="shared" si="245"/>
        <v>117419.65000000001</v>
      </c>
      <c r="L4150" s="134">
        <v>0.1792</v>
      </c>
    </row>
    <row r="4151" spans="3:12">
      <c r="C4151" s="161">
        <f t="shared" si="243"/>
        <v>2015</v>
      </c>
      <c r="D4151" s="35" t="s">
        <v>322</v>
      </c>
      <c r="E4151" s="227">
        <v>42309</v>
      </c>
      <c r="F4151" s="156">
        <v>578959.86225000001</v>
      </c>
      <c r="G4151" s="131">
        <f t="shared" si="244"/>
        <v>103749.6073152</v>
      </c>
      <c r="H4151" s="156">
        <v>15890.91</v>
      </c>
      <c r="I4151" s="156">
        <v>0</v>
      </c>
      <c r="J4151" s="156">
        <v>5300</v>
      </c>
      <c r="K4151" s="131">
        <f t="shared" si="245"/>
        <v>21190.91</v>
      </c>
      <c r="L4151" s="134">
        <v>0.1792</v>
      </c>
    </row>
    <row r="4152" spans="3:12">
      <c r="C4152" s="161">
        <f t="shared" si="243"/>
        <v>2015</v>
      </c>
      <c r="D4152" s="35" t="s">
        <v>322</v>
      </c>
      <c r="E4152" s="227">
        <v>42339</v>
      </c>
      <c r="F4152" s="156">
        <v>564678.47122499999</v>
      </c>
      <c r="G4152" s="131">
        <f t="shared" si="244"/>
        <v>101190.38204352</v>
      </c>
      <c r="H4152" s="156">
        <v>137283.51999999999</v>
      </c>
      <c r="I4152" s="156">
        <v>0</v>
      </c>
      <c r="J4152" s="156">
        <v>0</v>
      </c>
      <c r="K4152" s="131">
        <f t="shared" si="245"/>
        <v>137283.51999999999</v>
      </c>
      <c r="L4152" s="134">
        <v>0.1792</v>
      </c>
    </row>
    <row r="4153" spans="3:12">
      <c r="C4153" s="161">
        <f t="shared" si="243"/>
        <v>2016</v>
      </c>
      <c r="D4153" s="35" t="s">
        <v>322</v>
      </c>
      <c r="E4153" s="227">
        <v>42370</v>
      </c>
      <c r="F4153" s="156">
        <v>554209.36065000005</v>
      </c>
      <c r="G4153" s="131">
        <f t="shared" si="244"/>
        <v>99314.317428480004</v>
      </c>
      <c r="H4153" s="156">
        <v>5567.53</v>
      </c>
      <c r="I4153" s="156">
        <v>0</v>
      </c>
      <c r="J4153" s="156">
        <v>0</v>
      </c>
      <c r="K4153" s="131">
        <f t="shared" si="245"/>
        <v>5567.53</v>
      </c>
      <c r="L4153" s="134">
        <v>0.1792</v>
      </c>
    </row>
    <row r="4154" spans="3:12">
      <c r="C4154" s="161">
        <f t="shared" si="243"/>
        <v>2016</v>
      </c>
      <c r="D4154" s="35" t="s">
        <v>322</v>
      </c>
      <c r="E4154" s="227">
        <v>42401</v>
      </c>
      <c r="F4154" s="156">
        <v>601143.146175</v>
      </c>
      <c r="G4154" s="131">
        <f t="shared" si="244"/>
        <v>107724.85179456</v>
      </c>
      <c r="H4154" s="156">
        <v>6451.6</v>
      </c>
      <c r="I4154" s="156">
        <v>57031.1</v>
      </c>
      <c r="J4154" s="156">
        <v>0</v>
      </c>
      <c r="K4154" s="131">
        <f t="shared" si="245"/>
        <v>63482.7</v>
      </c>
      <c r="L4154" s="134">
        <v>0.1792</v>
      </c>
    </row>
    <row r="4155" spans="3:12">
      <c r="C4155" s="161">
        <f t="shared" si="243"/>
        <v>2016</v>
      </c>
      <c r="D4155" s="35" t="s">
        <v>322</v>
      </c>
      <c r="E4155" s="227">
        <v>42430</v>
      </c>
      <c r="F4155" s="156">
        <v>541109.60722500004</v>
      </c>
      <c r="G4155" s="131">
        <f t="shared" si="244"/>
        <v>96966.841614720004</v>
      </c>
      <c r="H4155" s="156">
        <v>3832.97</v>
      </c>
      <c r="I4155" s="156">
        <v>72.64</v>
      </c>
      <c r="J4155" s="156">
        <v>0</v>
      </c>
      <c r="K4155" s="131">
        <f t="shared" si="245"/>
        <v>3905.6099999999997</v>
      </c>
      <c r="L4155" s="134">
        <v>0.1792</v>
      </c>
    </row>
    <row r="4156" spans="3:12">
      <c r="C4156" s="161">
        <f t="shared" si="243"/>
        <v>2016</v>
      </c>
      <c r="D4156" s="35" t="s">
        <v>322</v>
      </c>
      <c r="E4156" s="227">
        <v>42461</v>
      </c>
      <c r="F4156" s="156">
        <v>606900.79807500006</v>
      </c>
      <c r="G4156" s="131">
        <f t="shared" si="244"/>
        <v>108756.62301504001</v>
      </c>
      <c r="H4156" s="156">
        <v>4785.6000000000004</v>
      </c>
      <c r="I4156" s="156">
        <v>0</v>
      </c>
      <c r="J4156" s="156">
        <v>0</v>
      </c>
      <c r="K4156" s="131">
        <f t="shared" si="245"/>
        <v>4785.6000000000004</v>
      </c>
      <c r="L4156" s="134">
        <v>0.1792</v>
      </c>
    </row>
    <row r="4157" spans="3:12">
      <c r="C4157" s="161">
        <f t="shared" si="243"/>
        <v>2016</v>
      </c>
      <c r="D4157" s="35" t="s">
        <v>322</v>
      </c>
      <c r="E4157" s="227">
        <v>42491</v>
      </c>
      <c r="F4157" s="156">
        <v>566362.94550000003</v>
      </c>
      <c r="G4157" s="131">
        <f t="shared" si="244"/>
        <v>101492.2398336</v>
      </c>
      <c r="H4157" s="156">
        <v>3439.23</v>
      </c>
      <c r="I4157" s="156">
        <v>0</v>
      </c>
      <c r="J4157" s="156">
        <v>0</v>
      </c>
      <c r="K4157" s="131">
        <f t="shared" si="245"/>
        <v>3439.23</v>
      </c>
      <c r="L4157" s="134">
        <v>0.1792</v>
      </c>
    </row>
    <row r="4158" spans="3:12">
      <c r="C4158" s="161">
        <f t="shared" si="243"/>
        <v>2016</v>
      </c>
      <c r="D4158" s="35" t="s">
        <v>322</v>
      </c>
      <c r="E4158" s="227">
        <v>42522</v>
      </c>
      <c r="F4158" s="156">
        <v>551743.51980000001</v>
      </c>
      <c r="G4158" s="131">
        <f t="shared" si="244"/>
        <v>98872.438748159999</v>
      </c>
      <c r="H4158" s="156">
        <v>7849.1</v>
      </c>
      <c r="I4158" s="156">
        <v>0</v>
      </c>
      <c r="J4158" s="156">
        <v>3980</v>
      </c>
      <c r="K4158" s="131">
        <f t="shared" si="245"/>
        <v>11829.1</v>
      </c>
      <c r="L4158" s="134">
        <v>0.1792</v>
      </c>
    </row>
    <row r="4159" spans="3:12">
      <c r="C4159" s="161">
        <f t="shared" si="243"/>
        <v>2016</v>
      </c>
      <c r="D4159" s="35" t="s">
        <v>322</v>
      </c>
      <c r="E4159" s="227">
        <v>42552</v>
      </c>
      <c r="F4159" s="156">
        <v>617058.09164999996</v>
      </c>
      <c r="G4159" s="131">
        <f t="shared" si="244"/>
        <v>110576.81002367999</v>
      </c>
      <c r="H4159" s="156">
        <v>3815.91</v>
      </c>
      <c r="I4159" s="156">
        <v>0</v>
      </c>
      <c r="J4159" s="156">
        <v>0</v>
      </c>
      <c r="K4159" s="131">
        <f t="shared" si="245"/>
        <v>3815.91</v>
      </c>
      <c r="L4159" s="134">
        <v>0.1792</v>
      </c>
    </row>
    <row r="4160" spans="3:12">
      <c r="C4160" s="161">
        <f t="shared" si="243"/>
        <v>2016</v>
      </c>
      <c r="D4160" s="35" t="s">
        <v>322</v>
      </c>
      <c r="E4160" s="227">
        <v>42583</v>
      </c>
      <c r="F4160" s="156">
        <v>631363.68570000003</v>
      </c>
      <c r="G4160" s="131">
        <f t="shared" si="244"/>
        <v>113140.37247744</v>
      </c>
      <c r="H4160" s="156">
        <v>9133</v>
      </c>
      <c r="I4160" s="156">
        <v>0</v>
      </c>
      <c r="J4160" s="156">
        <v>0</v>
      </c>
      <c r="K4160" s="131">
        <f t="shared" si="245"/>
        <v>9133</v>
      </c>
      <c r="L4160" s="134">
        <v>0.1792</v>
      </c>
    </row>
    <row r="4161" spans="3:12">
      <c r="C4161" s="161">
        <f t="shared" si="243"/>
        <v>2016</v>
      </c>
      <c r="D4161" s="35" t="s">
        <v>322</v>
      </c>
      <c r="E4161" s="227">
        <v>42614</v>
      </c>
      <c r="F4161" s="156">
        <v>630028.69874999998</v>
      </c>
      <c r="G4161" s="131">
        <f t="shared" si="244"/>
        <v>112901.14281599999</v>
      </c>
      <c r="H4161" s="156">
        <v>19350</v>
      </c>
      <c r="I4161" s="156">
        <v>0</v>
      </c>
      <c r="J4161" s="156">
        <v>0</v>
      </c>
      <c r="K4161" s="131">
        <f t="shared" si="245"/>
        <v>19350</v>
      </c>
      <c r="L4161" s="134">
        <v>0.1792</v>
      </c>
    </row>
    <row r="4162" spans="3:12">
      <c r="C4162" s="161">
        <f t="shared" si="243"/>
        <v>2016</v>
      </c>
      <c r="D4162" s="35" t="s">
        <v>322</v>
      </c>
      <c r="E4162" s="227">
        <v>42644</v>
      </c>
      <c r="F4162" s="156">
        <v>657334.92000000004</v>
      </c>
      <c r="G4162" s="131">
        <f t="shared" si="244"/>
        <v>117794.41766400001</v>
      </c>
      <c r="H4162" s="156">
        <v>5348.02</v>
      </c>
      <c r="I4162" s="156">
        <v>0</v>
      </c>
      <c r="J4162" s="156">
        <v>478.84</v>
      </c>
      <c r="K4162" s="131">
        <f t="shared" si="245"/>
        <v>5826.8600000000006</v>
      </c>
      <c r="L4162" s="134">
        <v>0.1792</v>
      </c>
    </row>
    <row r="4163" spans="3:12">
      <c r="C4163" s="161">
        <f t="shared" si="243"/>
        <v>2016</v>
      </c>
      <c r="D4163" s="35" t="s">
        <v>322</v>
      </c>
      <c r="E4163" s="227">
        <v>42675</v>
      </c>
      <c r="F4163" s="156">
        <v>665833.63934999995</v>
      </c>
      <c r="G4163" s="131">
        <f t="shared" si="244"/>
        <v>119317.38817152</v>
      </c>
      <c r="H4163" s="156">
        <v>2337.81</v>
      </c>
      <c r="I4163" s="156">
        <v>0</v>
      </c>
      <c r="J4163" s="156">
        <v>0</v>
      </c>
      <c r="K4163" s="131">
        <f t="shared" si="245"/>
        <v>2337.81</v>
      </c>
      <c r="L4163" s="134">
        <v>0.1792</v>
      </c>
    </row>
    <row r="4164" spans="3:12">
      <c r="C4164" s="161">
        <f t="shared" ref="C4164:C4227" si="246">YEAR(E4164)</f>
        <v>2016</v>
      </c>
      <c r="D4164" s="35" t="s">
        <v>322</v>
      </c>
      <c r="E4164" s="227">
        <v>42705</v>
      </c>
      <c r="F4164" s="156">
        <v>652454.10367500002</v>
      </c>
      <c r="G4164" s="131">
        <f t="shared" ref="G4164:G4227" si="247">F4164*L4164</f>
        <v>116919.77537856001</v>
      </c>
      <c r="H4164" s="156">
        <v>4488.2</v>
      </c>
      <c r="I4164" s="156">
        <v>77.260000000000005</v>
      </c>
      <c r="J4164" s="156">
        <v>10705.02</v>
      </c>
      <c r="K4164" s="131">
        <f t="shared" ref="K4164:K4227" si="248">SUM(H4164:J4164)</f>
        <v>15270.48</v>
      </c>
      <c r="L4164" s="134">
        <v>0.1792</v>
      </c>
    </row>
    <row r="4165" spans="3:12">
      <c r="C4165" s="161">
        <f t="shared" si="246"/>
        <v>2017</v>
      </c>
      <c r="D4165" s="35" t="s">
        <v>322</v>
      </c>
      <c r="E4165" s="227">
        <v>42736</v>
      </c>
      <c r="F4165" s="156">
        <v>670933.27207499999</v>
      </c>
      <c r="G4165" s="131">
        <f t="shared" si="247"/>
        <v>120231.24235583999</v>
      </c>
      <c r="H4165" s="156">
        <v>7146.32</v>
      </c>
      <c r="I4165" s="156">
        <v>0</v>
      </c>
      <c r="J4165" s="156">
        <v>10373.129999999999</v>
      </c>
      <c r="K4165" s="131">
        <f t="shared" si="248"/>
        <v>17519.449999999997</v>
      </c>
      <c r="L4165" s="134">
        <v>0.1792</v>
      </c>
    </row>
    <row r="4166" spans="3:12">
      <c r="C4166" s="161">
        <f t="shared" si="246"/>
        <v>2017</v>
      </c>
      <c r="D4166" s="35" t="s">
        <v>322</v>
      </c>
      <c r="E4166" s="227">
        <v>42767</v>
      </c>
      <c r="F4166" s="156">
        <v>665508.36412499996</v>
      </c>
      <c r="G4166" s="131">
        <f t="shared" si="247"/>
        <v>119259.09885119999</v>
      </c>
      <c r="H4166" s="156">
        <v>2842.54</v>
      </c>
      <c r="I4166" s="156">
        <v>0</v>
      </c>
      <c r="J4166" s="156">
        <v>0</v>
      </c>
      <c r="K4166" s="131">
        <f t="shared" si="248"/>
        <v>2842.54</v>
      </c>
      <c r="L4166" s="134">
        <v>0.1792</v>
      </c>
    </row>
    <row r="4167" spans="3:12">
      <c r="C4167" s="161">
        <f t="shared" si="246"/>
        <v>2017</v>
      </c>
      <c r="D4167" s="35" t="s">
        <v>322</v>
      </c>
      <c r="E4167" s="227">
        <v>42795</v>
      </c>
      <c r="F4167" s="156">
        <v>610162.53</v>
      </c>
      <c r="G4167" s="131">
        <f t="shared" si="247"/>
        <v>109341.12537600001</v>
      </c>
      <c r="H4167" s="156">
        <v>2242.5100000000002</v>
      </c>
      <c r="I4167" s="156">
        <v>0</v>
      </c>
      <c r="J4167" s="156">
        <v>0</v>
      </c>
      <c r="K4167" s="131">
        <f t="shared" si="248"/>
        <v>2242.5100000000002</v>
      </c>
      <c r="L4167" s="134">
        <v>0.1792</v>
      </c>
    </row>
    <row r="4168" spans="3:12">
      <c r="C4168" s="161">
        <f t="shared" si="246"/>
        <v>2017</v>
      </c>
      <c r="D4168" s="35" t="s">
        <v>322</v>
      </c>
      <c r="E4168" s="227">
        <v>42826</v>
      </c>
      <c r="F4168" s="156">
        <v>662264.59</v>
      </c>
      <c r="G4168" s="131">
        <f t="shared" si="247"/>
        <v>118677.81452799999</v>
      </c>
      <c r="H4168" s="156">
        <v>696609.98</v>
      </c>
      <c r="I4168" s="156">
        <v>0</v>
      </c>
      <c r="J4168" s="156">
        <v>0</v>
      </c>
      <c r="K4168" s="131">
        <f t="shared" si="248"/>
        <v>696609.98</v>
      </c>
      <c r="L4168" s="134">
        <v>0.1792</v>
      </c>
    </row>
    <row r="4169" spans="3:12">
      <c r="C4169" s="161">
        <f t="shared" si="246"/>
        <v>2017</v>
      </c>
      <c r="D4169" s="35" t="s">
        <v>322</v>
      </c>
      <c r="E4169" s="227">
        <v>42856</v>
      </c>
      <c r="F4169" s="156">
        <v>601546.04</v>
      </c>
      <c r="G4169" s="131">
        <f t="shared" si="247"/>
        <v>107797.05036800001</v>
      </c>
      <c r="H4169" s="156">
        <v>9554.01</v>
      </c>
      <c r="I4169" s="156">
        <v>0</v>
      </c>
      <c r="J4169" s="156">
        <v>0</v>
      </c>
      <c r="K4169" s="131">
        <f t="shared" si="248"/>
        <v>9554.01</v>
      </c>
      <c r="L4169" s="134">
        <v>0.1792</v>
      </c>
    </row>
    <row r="4170" spans="3:12">
      <c r="C4170" s="161">
        <f t="shared" si="246"/>
        <v>2017</v>
      </c>
      <c r="D4170" s="35" t="s">
        <v>322</v>
      </c>
      <c r="E4170" s="227">
        <v>42887</v>
      </c>
      <c r="F4170" s="156">
        <v>627302.96</v>
      </c>
      <c r="G4170" s="131">
        <f t="shared" si="247"/>
        <v>112412.69043199999</v>
      </c>
      <c r="H4170" s="156">
        <v>10327.76</v>
      </c>
      <c r="I4170" s="156">
        <v>0</v>
      </c>
      <c r="J4170" s="156">
        <v>0</v>
      </c>
      <c r="K4170" s="131">
        <f t="shared" si="248"/>
        <v>10327.76</v>
      </c>
      <c r="L4170" s="134">
        <v>0.1792</v>
      </c>
    </row>
    <row r="4171" spans="3:12">
      <c r="C4171" s="161">
        <f t="shared" si="246"/>
        <v>2017</v>
      </c>
      <c r="D4171" s="35" t="s">
        <v>322</v>
      </c>
      <c r="E4171" s="227">
        <v>42917</v>
      </c>
      <c r="F4171" s="156">
        <v>662385.4</v>
      </c>
      <c r="G4171" s="131">
        <f t="shared" si="247"/>
        <v>118699.46368</v>
      </c>
      <c r="H4171" s="156">
        <v>4597.08</v>
      </c>
      <c r="I4171" s="156">
        <v>0</v>
      </c>
      <c r="J4171" s="156">
        <v>2704.07</v>
      </c>
      <c r="K4171" s="131">
        <f t="shared" si="248"/>
        <v>7301.15</v>
      </c>
      <c r="L4171" s="134">
        <v>0.1792</v>
      </c>
    </row>
    <row r="4172" spans="3:12">
      <c r="C4172" s="161">
        <f t="shared" si="246"/>
        <v>2017</v>
      </c>
      <c r="D4172" s="35" t="s">
        <v>322</v>
      </c>
      <c r="E4172" s="227">
        <v>42948</v>
      </c>
      <c r="F4172" s="156">
        <v>700865.8</v>
      </c>
      <c r="G4172" s="131">
        <f t="shared" si="247"/>
        <v>125595.15136</v>
      </c>
      <c r="H4172" s="156">
        <v>4590.45</v>
      </c>
      <c r="I4172" s="156">
        <v>0</v>
      </c>
      <c r="J4172" s="156">
        <v>0</v>
      </c>
      <c r="K4172" s="131">
        <f t="shared" si="248"/>
        <v>4590.45</v>
      </c>
      <c r="L4172" s="134">
        <v>0.1792</v>
      </c>
    </row>
    <row r="4173" spans="3:12">
      <c r="C4173" s="161">
        <f t="shared" si="246"/>
        <v>2017</v>
      </c>
      <c r="D4173" s="35" t="s">
        <v>322</v>
      </c>
      <c r="E4173" s="227">
        <v>42979</v>
      </c>
      <c r="F4173" s="156">
        <v>786179.51</v>
      </c>
      <c r="G4173" s="131">
        <f t="shared" si="247"/>
        <v>140883.36819199999</v>
      </c>
      <c r="H4173" s="156">
        <v>6462.55</v>
      </c>
      <c r="I4173" s="156">
        <v>-0.03</v>
      </c>
      <c r="J4173" s="156">
        <v>16000</v>
      </c>
      <c r="K4173" s="131">
        <f t="shared" si="248"/>
        <v>22462.52</v>
      </c>
      <c r="L4173" s="134">
        <v>0.1792</v>
      </c>
    </row>
    <row r="4174" spans="3:12">
      <c r="C4174" s="161">
        <f t="shared" si="246"/>
        <v>2017</v>
      </c>
      <c r="D4174" s="35" t="s">
        <v>322</v>
      </c>
      <c r="E4174" s="227">
        <v>43009</v>
      </c>
      <c r="F4174" s="156">
        <v>689165.54</v>
      </c>
      <c r="G4174" s="131">
        <f t="shared" si="247"/>
        <v>123498.46476800001</v>
      </c>
      <c r="H4174" s="156">
        <v>5486.61</v>
      </c>
      <c r="I4174" s="156">
        <v>167.1</v>
      </c>
      <c r="J4174" s="156">
        <v>0</v>
      </c>
      <c r="K4174" s="131">
        <f t="shared" si="248"/>
        <v>5653.71</v>
      </c>
      <c r="L4174" s="134">
        <v>0.1792</v>
      </c>
    </row>
    <row r="4175" spans="3:12">
      <c r="C4175" s="161">
        <f t="shared" si="246"/>
        <v>2017</v>
      </c>
      <c r="D4175" s="35" t="s">
        <v>322</v>
      </c>
      <c r="E4175" s="227">
        <v>43040</v>
      </c>
      <c r="F4175" s="156">
        <v>711935.09</v>
      </c>
      <c r="G4175" s="131">
        <f t="shared" si="247"/>
        <v>127578.768128</v>
      </c>
      <c r="H4175" s="156">
        <v>3081.11</v>
      </c>
      <c r="I4175" s="156">
        <v>0</v>
      </c>
      <c r="J4175" s="156">
        <v>0</v>
      </c>
      <c r="K4175" s="131">
        <f t="shared" si="248"/>
        <v>3081.11</v>
      </c>
      <c r="L4175" s="134">
        <v>0.1792</v>
      </c>
    </row>
    <row r="4176" spans="3:12">
      <c r="C4176" s="161">
        <f t="shared" si="246"/>
        <v>2017</v>
      </c>
      <c r="D4176" s="35" t="s">
        <v>322</v>
      </c>
      <c r="E4176" s="227">
        <v>43070</v>
      </c>
      <c r="F4176" s="156">
        <v>700938.52</v>
      </c>
      <c r="G4176" s="131">
        <f t="shared" si="247"/>
        <v>125608.182784</v>
      </c>
      <c r="H4176" s="156">
        <v>1952.5</v>
      </c>
      <c r="I4176" s="156">
        <v>0</v>
      </c>
      <c r="J4176" s="156">
        <v>0</v>
      </c>
      <c r="K4176" s="131">
        <f t="shared" si="248"/>
        <v>1952.5</v>
      </c>
      <c r="L4176" s="134">
        <v>0.1792</v>
      </c>
    </row>
    <row r="4177" spans="3:12">
      <c r="C4177" s="161">
        <f t="shared" si="246"/>
        <v>2018</v>
      </c>
      <c r="D4177" s="35" t="s">
        <v>322</v>
      </c>
      <c r="E4177" s="227">
        <v>43101</v>
      </c>
      <c r="F4177" s="156">
        <v>676112.7</v>
      </c>
      <c r="G4177" s="131">
        <f t="shared" si="247"/>
        <v>121159.39584</v>
      </c>
      <c r="H4177" s="156">
        <v>175729.06</v>
      </c>
      <c r="I4177" s="156">
        <v>169.74</v>
      </c>
      <c r="J4177" s="156">
        <v>0</v>
      </c>
      <c r="K4177" s="131">
        <f t="shared" si="248"/>
        <v>175898.8</v>
      </c>
      <c r="L4177" s="134">
        <v>0.1792</v>
      </c>
    </row>
    <row r="4178" spans="3:12">
      <c r="C4178" s="161">
        <f t="shared" si="246"/>
        <v>2018</v>
      </c>
      <c r="D4178" s="35" t="s">
        <v>322</v>
      </c>
      <c r="E4178" s="227">
        <v>43132</v>
      </c>
      <c r="F4178" s="156">
        <v>703779.05</v>
      </c>
      <c r="G4178" s="131">
        <f t="shared" si="247"/>
        <v>126117.20576000001</v>
      </c>
      <c r="H4178" s="156">
        <v>2083.5</v>
      </c>
      <c r="I4178" s="156">
        <v>0</v>
      </c>
      <c r="J4178" s="156">
        <v>0</v>
      </c>
      <c r="K4178" s="131">
        <f t="shared" si="248"/>
        <v>2083.5</v>
      </c>
      <c r="L4178" s="134">
        <v>0.1792</v>
      </c>
    </row>
    <row r="4179" spans="3:12">
      <c r="C4179" s="161">
        <f t="shared" si="246"/>
        <v>2018</v>
      </c>
      <c r="D4179" s="35" t="s">
        <v>322</v>
      </c>
      <c r="E4179" s="227">
        <v>43160</v>
      </c>
      <c r="F4179" s="156">
        <v>665072.87</v>
      </c>
      <c r="G4179" s="131">
        <f t="shared" si="247"/>
        <v>119181.05830399999</v>
      </c>
      <c r="H4179" s="156">
        <v>2685.25</v>
      </c>
      <c r="I4179" s="156">
        <v>0</v>
      </c>
      <c r="J4179" s="156">
        <v>0</v>
      </c>
      <c r="K4179" s="131">
        <f t="shared" si="248"/>
        <v>2685.25</v>
      </c>
      <c r="L4179" s="134">
        <v>0.1792</v>
      </c>
    </row>
    <row r="4180" spans="3:12">
      <c r="C4180" s="161">
        <f t="shared" si="246"/>
        <v>2018</v>
      </c>
      <c r="D4180" s="35" t="s">
        <v>322</v>
      </c>
      <c r="E4180" s="227">
        <v>43191</v>
      </c>
      <c r="F4180" s="156">
        <v>698488.58</v>
      </c>
      <c r="G4180" s="131">
        <f t="shared" si="247"/>
        <v>125169.153536</v>
      </c>
      <c r="H4180" s="156">
        <v>4832.4799999999996</v>
      </c>
      <c r="I4180" s="156">
        <v>0</v>
      </c>
      <c r="J4180" s="156">
        <v>0</v>
      </c>
      <c r="K4180" s="131">
        <f t="shared" si="248"/>
        <v>4832.4799999999996</v>
      </c>
      <c r="L4180" s="134">
        <v>0.1792</v>
      </c>
    </row>
    <row r="4181" spans="3:12">
      <c r="C4181" s="161">
        <f t="shared" si="246"/>
        <v>2018</v>
      </c>
      <c r="D4181" s="35" t="s">
        <v>322</v>
      </c>
      <c r="E4181" s="227">
        <v>43221</v>
      </c>
      <c r="F4181" s="156">
        <v>698103.45</v>
      </c>
      <c r="G4181" s="131">
        <f t="shared" si="247"/>
        <v>125100.13823999999</v>
      </c>
      <c r="H4181" s="156">
        <v>5202.5600000000004</v>
      </c>
      <c r="I4181" s="156">
        <v>528.42999999999995</v>
      </c>
      <c r="J4181" s="156">
        <v>0</v>
      </c>
      <c r="K4181" s="131">
        <f t="shared" si="248"/>
        <v>5730.9900000000007</v>
      </c>
      <c r="L4181" s="134">
        <v>0.1792</v>
      </c>
    </row>
    <row r="4182" spans="3:12">
      <c r="C4182" s="161">
        <f t="shared" si="246"/>
        <v>2018</v>
      </c>
      <c r="D4182" s="35" t="s">
        <v>322</v>
      </c>
      <c r="E4182" s="227">
        <v>43252</v>
      </c>
      <c r="F4182" s="156">
        <v>670619.96</v>
      </c>
      <c r="G4182" s="131">
        <f t="shared" si="247"/>
        <v>120175.096832</v>
      </c>
      <c r="H4182" s="156">
        <v>534027.14</v>
      </c>
      <c r="I4182" s="156">
        <v>174.18</v>
      </c>
      <c r="J4182" s="156">
        <v>0</v>
      </c>
      <c r="K4182" s="131">
        <f t="shared" si="248"/>
        <v>534201.32000000007</v>
      </c>
      <c r="L4182" s="134">
        <v>0.1792</v>
      </c>
    </row>
    <row r="4183" spans="3:12">
      <c r="C4183" s="161">
        <f t="shared" si="246"/>
        <v>2018</v>
      </c>
      <c r="D4183" s="35" t="s">
        <v>322</v>
      </c>
      <c r="E4183" s="227">
        <v>43282</v>
      </c>
      <c r="F4183" s="156">
        <v>697956.27</v>
      </c>
      <c r="G4183" s="131">
        <f t="shared" si="247"/>
        <v>125073.763584</v>
      </c>
      <c r="H4183" s="156">
        <v>295393.2</v>
      </c>
      <c r="I4183" s="156">
        <v>42.38</v>
      </c>
      <c r="J4183" s="156">
        <v>0</v>
      </c>
      <c r="K4183" s="131">
        <f t="shared" si="248"/>
        <v>295435.58</v>
      </c>
      <c r="L4183" s="134">
        <v>0.1792</v>
      </c>
    </row>
    <row r="4184" spans="3:12">
      <c r="C4184" s="161">
        <f t="shared" si="246"/>
        <v>2018</v>
      </c>
      <c r="D4184" s="35" t="s">
        <v>322</v>
      </c>
      <c r="E4184" s="227">
        <v>43313</v>
      </c>
      <c r="F4184" s="156">
        <v>701834.62</v>
      </c>
      <c r="G4184" s="131">
        <f t="shared" si="247"/>
        <v>125768.76390399999</v>
      </c>
      <c r="H4184" s="156">
        <v>22655.97</v>
      </c>
      <c r="I4184" s="156">
        <v>0</v>
      </c>
      <c r="J4184" s="156">
        <v>666.66</v>
      </c>
      <c r="K4184" s="131">
        <f t="shared" si="248"/>
        <v>23322.63</v>
      </c>
      <c r="L4184" s="134">
        <v>0.1792</v>
      </c>
    </row>
    <row r="4185" spans="3:12">
      <c r="C4185" s="161">
        <f t="shared" si="246"/>
        <v>2018</v>
      </c>
      <c r="D4185" s="35" t="s">
        <v>322</v>
      </c>
      <c r="E4185" s="227">
        <v>43344</v>
      </c>
      <c r="F4185" s="156">
        <v>699403.94</v>
      </c>
      <c r="G4185" s="131">
        <f t="shared" si="247"/>
        <v>125333.18604799999</v>
      </c>
      <c r="H4185" s="156">
        <v>98185.88</v>
      </c>
      <c r="I4185" s="156">
        <v>89.45</v>
      </c>
      <c r="J4185" s="156">
        <v>0</v>
      </c>
      <c r="K4185" s="131">
        <f t="shared" si="248"/>
        <v>98275.33</v>
      </c>
      <c r="L4185" s="134">
        <v>0.1792</v>
      </c>
    </row>
    <row r="4186" spans="3:12">
      <c r="C4186" s="161">
        <f t="shared" si="246"/>
        <v>2018</v>
      </c>
      <c r="D4186" s="35" t="s">
        <v>322</v>
      </c>
      <c r="E4186" s="227">
        <v>43374</v>
      </c>
      <c r="F4186" s="156">
        <v>731775.64</v>
      </c>
      <c r="G4186" s="131">
        <f t="shared" si="247"/>
        <v>131134.19468799999</v>
      </c>
      <c r="H4186" s="156">
        <v>1913.78</v>
      </c>
      <c r="I4186" s="156">
        <v>16.48</v>
      </c>
      <c r="J4186" s="156">
        <v>65880</v>
      </c>
      <c r="K4186" s="131">
        <f t="shared" si="248"/>
        <v>67810.259999999995</v>
      </c>
      <c r="L4186" s="134">
        <v>0.1792</v>
      </c>
    </row>
    <row r="4187" spans="3:12">
      <c r="C4187" s="161">
        <f t="shared" si="246"/>
        <v>2018</v>
      </c>
      <c r="D4187" s="35" t="s">
        <v>322</v>
      </c>
      <c r="E4187" s="227">
        <v>43405</v>
      </c>
      <c r="F4187" s="156">
        <v>765240.545025</v>
      </c>
      <c r="G4187" s="131">
        <f t="shared" si="247"/>
        <v>137131.10566847998</v>
      </c>
      <c r="H4187" s="156">
        <v>58378.91</v>
      </c>
      <c r="I4187" s="156">
        <v>56.02</v>
      </c>
      <c r="J4187" s="156">
        <v>43222.5</v>
      </c>
      <c r="K4187" s="131">
        <f t="shared" si="248"/>
        <v>101657.43</v>
      </c>
      <c r="L4187" s="134">
        <v>0.1792</v>
      </c>
    </row>
    <row r="4188" spans="3:12">
      <c r="C4188" s="161">
        <f t="shared" si="246"/>
        <v>2018</v>
      </c>
      <c r="D4188" s="35" t="s">
        <v>322</v>
      </c>
      <c r="E4188" s="227">
        <v>43435</v>
      </c>
      <c r="F4188" s="156">
        <v>754375.91</v>
      </c>
      <c r="G4188" s="131">
        <f t="shared" si="247"/>
        <v>135184.163072</v>
      </c>
      <c r="H4188" s="156">
        <v>347700.44</v>
      </c>
      <c r="I4188" s="156">
        <v>56.02</v>
      </c>
      <c r="J4188" s="156">
        <v>0</v>
      </c>
      <c r="K4188" s="131">
        <f t="shared" si="248"/>
        <v>347756.46</v>
      </c>
      <c r="L4188" s="134">
        <v>0.1792</v>
      </c>
    </row>
    <row r="4189" spans="3:12">
      <c r="C4189" s="161">
        <f t="shared" si="246"/>
        <v>2019</v>
      </c>
      <c r="D4189" s="35" t="s">
        <v>322</v>
      </c>
      <c r="E4189" s="227">
        <v>43466</v>
      </c>
      <c r="F4189" s="156">
        <v>756753.23</v>
      </c>
      <c r="G4189" s="131">
        <f t="shared" si="247"/>
        <v>135610.178816</v>
      </c>
      <c r="H4189" s="156">
        <v>74912.78</v>
      </c>
      <c r="I4189" s="156">
        <v>347490.39</v>
      </c>
      <c r="J4189" s="156">
        <v>472.09</v>
      </c>
      <c r="K4189" s="131">
        <f t="shared" si="248"/>
        <v>422875.26000000007</v>
      </c>
      <c r="L4189" s="134">
        <v>0.1792</v>
      </c>
    </row>
    <row r="4190" spans="3:12">
      <c r="C4190" s="161">
        <f t="shared" si="246"/>
        <v>2019</v>
      </c>
      <c r="D4190" s="35" t="s">
        <v>322</v>
      </c>
      <c r="E4190" s="227">
        <v>43497</v>
      </c>
      <c r="F4190" s="156">
        <v>764618.23999999999</v>
      </c>
      <c r="G4190" s="131">
        <f t="shared" si="247"/>
        <v>137019.58860799999</v>
      </c>
      <c r="H4190" s="156">
        <v>100930.77</v>
      </c>
      <c r="I4190" s="156">
        <v>197650.27</v>
      </c>
      <c r="J4190" s="156">
        <v>0</v>
      </c>
      <c r="K4190" s="131">
        <f t="shared" si="248"/>
        <v>298581.03999999998</v>
      </c>
      <c r="L4190" s="134">
        <v>0.1792</v>
      </c>
    </row>
    <row r="4191" spans="3:12">
      <c r="C4191" s="161">
        <f t="shared" si="246"/>
        <v>2019</v>
      </c>
      <c r="D4191" s="35" t="s">
        <v>322</v>
      </c>
      <c r="E4191" s="227">
        <v>43525</v>
      </c>
      <c r="F4191" s="156">
        <v>680214.37</v>
      </c>
      <c r="G4191" s="131">
        <f t="shared" si="247"/>
        <v>121894.415104</v>
      </c>
      <c r="H4191" s="156">
        <v>3724.37</v>
      </c>
      <c r="I4191" s="156">
        <v>639633.65</v>
      </c>
      <c r="J4191" s="156">
        <v>5059.92</v>
      </c>
      <c r="K4191" s="131">
        <f t="shared" si="248"/>
        <v>648417.94000000006</v>
      </c>
      <c r="L4191" s="134">
        <v>0.1792</v>
      </c>
    </row>
    <row r="4192" spans="3:12">
      <c r="C4192" s="161">
        <f t="shared" si="246"/>
        <v>2019</v>
      </c>
      <c r="D4192" s="35" t="s">
        <v>322</v>
      </c>
      <c r="E4192" s="227">
        <v>43556</v>
      </c>
      <c r="F4192" s="156">
        <v>764168.78</v>
      </c>
      <c r="G4192" s="131">
        <f t="shared" si="247"/>
        <v>136939.04537599999</v>
      </c>
      <c r="H4192" s="156">
        <v>16570.86</v>
      </c>
      <c r="I4192" s="156">
        <v>205413.46</v>
      </c>
      <c r="J4192" s="156">
        <v>0</v>
      </c>
      <c r="K4192" s="131">
        <f t="shared" si="248"/>
        <v>221984.32</v>
      </c>
      <c r="L4192" s="134">
        <v>0.1792</v>
      </c>
    </row>
    <row r="4193" spans="3:12">
      <c r="C4193" s="161">
        <f t="shared" si="246"/>
        <v>2019</v>
      </c>
      <c r="D4193" s="35" t="s">
        <v>322</v>
      </c>
      <c r="E4193" s="227">
        <v>43586</v>
      </c>
      <c r="F4193" s="156">
        <v>699040.24</v>
      </c>
      <c r="G4193" s="131">
        <f t="shared" si="247"/>
        <v>125268.011008</v>
      </c>
      <c r="H4193" s="156">
        <v>6948.14</v>
      </c>
      <c r="I4193" s="156">
        <v>367348.82</v>
      </c>
      <c r="J4193" s="156">
        <v>0</v>
      </c>
      <c r="K4193" s="131">
        <f t="shared" si="248"/>
        <v>374296.96</v>
      </c>
      <c r="L4193" s="134">
        <v>0.1792</v>
      </c>
    </row>
    <row r="4194" spans="3:12">
      <c r="C4194" s="161">
        <f t="shared" si="246"/>
        <v>2019</v>
      </c>
      <c r="D4194" s="35" t="s">
        <v>322</v>
      </c>
      <c r="E4194" s="227">
        <v>43617</v>
      </c>
      <c r="F4194" s="156">
        <v>761143.07</v>
      </c>
      <c r="G4194" s="131">
        <f t="shared" si="247"/>
        <v>136396.83814399998</v>
      </c>
      <c r="H4194" s="156">
        <v>18595.990000000002</v>
      </c>
      <c r="I4194" s="156">
        <v>268137.77</v>
      </c>
      <c r="J4194" s="156">
        <v>0</v>
      </c>
      <c r="K4194" s="131">
        <f t="shared" si="248"/>
        <v>286733.76</v>
      </c>
      <c r="L4194" s="134">
        <v>0.1792</v>
      </c>
    </row>
    <row r="4195" spans="3:12">
      <c r="C4195" s="161">
        <f t="shared" si="246"/>
        <v>2019</v>
      </c>
      <c r="D4195" s="35" t="s">
        <v>322</v>
      </c>
      <c r="E4195" s="227">
        <v>43647</v>
      </c>
      <c r="F4195" s="156">
        <v>739719.78</v>
      </c>
      <c r="G4195" s="131">
        <f t="shared" si="247"/>
        <v>132557.78457600001</v>
      </c>
      <c r="H4195" s="156">
        <v>6191.08</v>
      </c>
      <c r="I4195" s="156">
        <v>173601.75</v>
      </c>
      <c r="J4195" s="156">
        <v>29788.54</v>
      </c>
      <c r="K4195" s="131">
        <f t="shared" si="248"/>
        <v>209581.37</v>
      </c>
      <c r="L4195" s="134">
        <v>0.1792</v>
      </c>
    </row>
    <row r="4196" spans="3:12">
      <c r="C4196" s="161">
        <f t="shared" si="246"/>
        <v>2019</v>
      </c>
      <c r="D4196" s="35" t="s">
        <v>322</v>
      </c>
      <c r="E4196" s="227">
        <v>43678</v>
      </c>
      <c r="F4196" s="156">
        <v>793790.71</v>
      </c>
      <c r="G4196" s="131">
        <f t="shared" si="247"/>
        <v>142247.295232</v>
      </c>
      <c r="H4196" s="156">
        <v>85608.49</v>
      </c>
      <c r="I4196" s="156">
        <v>28744.16</v>
      </c>
      <c r="J4196" s="156">
        <v>0</v>
      </c>
      <c r="K4196" s="131">
        <f t="shared" si="248"/>
        <v>114352.65000000001</v>
      </c>
      <c r="L4196" s="134">
        <v>0.1792</v>
      </c>
    </row>
    <row r="4197" spans="3:12">
      <c r="C4197" s="161">
        <f t="shared" si="246"/>
        <v>2019</v>
      </c>
      <c r="D4197" s="35" t="s">
        <v>322</v>
      </c>
      <c r="E4197" s="227">
        <v>43709</v>
      </c>
      <c r="F4197" s="156">
        <v>907192.64</v>
      </c>
      <c r="G4197" s="131">
        <f t="shared" si="247"/>
        <v>162568.921088</v>
      </c>
      <c r="H4197" s="156">
        <v>5736.98</v>
      </c>
      <c r="I4197" s="156">
        <v>977336.71</v>
      </c>
      <c r="J4197" s="156">
        <v>0</v>
      </c>
      <c r="K4197" s="131">
        <f t="shared" si="248"/>
        <v>983073.69</v>
      </c>
      <c r="L4197" s="134">
        <v>0.1792</v>
      </c>
    </row>
    <row r="4198" spans="3:12">
      <c r="C4198" s="161">
        <f t="shared" si="246"/>
        <v>2019</v>
      </c>
      <c r="D4198" s="35" t="s">
        <v>322</v>
      </c>
      <c r="E4198" s="227">
        <v>43739</v>
      </c>
      <c r="F4198" s="156">
        <v>854833.2</v>
      </c>
      <c r="G4198" s="131">
        <f t="shared" si="247"/>
        <v>153186.10944</v>
      </c>
      <c r="H4198" s="156">
        <v>2332.5100000000002</v>
      </c>
      <c r="I4198" s="156">
        <v>28443.95</v>
      </c>
      <c r="J4198" s="156">
        <v>1648.3</v>
      </c>
      <c r="K4198" s="131">
        <f t="shared" si="248"/>
        <v>32424.76</v>
      </c>
      <c r="L4198" s="134">
        <v>0.1792</v>
      </c>
    </row>
    <row r="4199" spans="3:12">
      <c r="C4199" s="161">
        <f t="shared" si="246"/>
        <v>2019</v>
      </c>
      <c r="D4199" s="35" t="s">
        <v>322</v>
      </c>
      <c r="E4199" s="227">
        <v>43770</v>
      </c>
      <c r="F4199" s="156">
        <v>925094.89</v>
      </c>
      <c r="G4199" s="131">
        <f t="shared" si="247"/>
        <v>165777.004288</v>
      </c>
      <c r="H4199" s="156">
        <v>155395.5</v>
      </c>
      <c r="I4199" s="156">
        <v>34669.339999999997</v>
      </c>
      <c r="J4199" s="156">
        <v>0</v>
      </c>
      <c r="K4199" s="131">
        <f t="shared" si="248"/>
        <v>190064.84</v>
      </c>
      <c r="L4199" s="134">
        <v>0.1792</v>
      </c>
    </row>
    <row r="4200" spans="3:12">
      <c r="C4200" s="161">
        <f t="shared" si="246"/>
        <v>2019</v>
      </c>
      <c r="D4200" s="35" t="s">
        <v>322</v>
      </c>
      <c r="E4200" s="227">
        <v>43800</v>
      </c>
      <c r="F4200" s="156">
        <v>822999.68</v>
      </c>
      <c r="G4200" s="131">
        <f t="shared" si="247"/>
        <v>147481.54265600001</v>
      </c>
      <c r="H4200" s="156">
        <v>3148.88</v>
      </c>
      <c r="I4200" s="156">
        <v>19591.68</v>
      </c>
      <c r="J4200" s="156">
        <v>0</v>
      </c>
      <c r="K4200" s="131">
        <f t="shared" si="248"/>
        <v>22740.560000000001</v>
      </c>
      <c r="L4200" s="134">
        <v>0.1792</v>
      </c>
    </row>
    <row r="4201" spans="3:12">
      <c r="C4201" s="161">
        <f t="shared" si="246"/>
        <v>2020</v>
      </c>
      <c r="D4201" s="35" t="s">
        <v>322</v>
      </c>
      <c r="E4201" s="227">
        <v>43831</v>
      </c>
      <c r="F4201" s="156">
        <v>842027.93</v>
      </c>
      <c r="G4201" s="131">
        <f t="shared" si="247"/>
        <v>150891.40505600002</v>
      </c>
      <c r="H4201" s="156">
        <v>60967.51</v>
      </c>
      <c r="I4201" s="156">
        <v>19543.22</v>
      </c>
      <c r="J4201" s="156">
        <v>693.37</v>
      </c>
      <c r="K4201" s="131">
        <f t="shared" si="248"/>
        <v>81204.100000000006</v>
      </c>
      <c r="L4201" s="134">
        <v>0.1792</v>
      </c>
    </row>
    <row r="4202" spans="3:12">
      <c r="C4202" s="161">
        <f t="shared" si="246"/>
        <v>2020</v>
      </c>
      <c r="D4202" s="35" t="s">
        <v>322</v>
      </c>
      <c r="E4202" s="227">
        <v>43862</v>
      </c>
      <c r="F4202" s="156">
        <v>839915.93</v>
      </c>
      <c r="G4202" s="131">
        <f t="shared" si="247"/>
        <v>150512.934656</v>
      </c>
      <c r="H4202" s="156">
        <v>66334.350000000006</v>
      </c>
      <c r="I4202" s="156">
        <v>20027.3</v>
      </c>
      <c r="J4202" s="156">
        <v>0</v>
      </c>
      <c r="K4202" s="131">
        <f t="shared" si="248"/>
        <v>86361.650000000009</v>
      </c>
      <c r="L4202" s="134">
        <v>0.1792</v>
      </c>
    </row>
    <row r="4203" spans="3:12">
      <c r="C4203" s="161">
        <f t="shared" si="246"/>
        <v>2020</v>
      </c>
      <c r="D4203" s="35" t="s">
        <v>322</v>
      </c>
      <c r="E4203" s="227">
        <v>43891</v>
      </c>
      <c r="F4203" s="156">
        <v>843178.43279999995</v>
      </c>
      <c r="G4203" s="131">
        <f t="shared" si="247"/>
        <v>151097.57515776</v>
      </c>
      <c r="H4203" s="156">
        <v>6752.61</v>
      </c>
      <c r="I4203" s="156">
        <v>19231.259999999998</v>
      </c>
      <c r="J4203" s="156">
        <v>0</v>
      </c>
      <c r="K4203" s="131">
        <f t="shared" si="248"/>
        <v>25983.87</v>
      </c>
      <c r="L4203" s="134">
        <v>0.1792</v>
      </c>
    </row>
    <row r="4204" spans="3:12">
      <c r="C4204" s="161">
        <f t="shared" si="246"/>
        <v>2020</v>
      </c>
      <c r="D4204" s="35" t="s">
        <v>322</v>
      </c>
      <c r="E4204" s="227">
        <v>43922</v>
      </c>
      <c r="F4204" s="156">
        <v>843175.15672500001</v>
      </c>
      <c r="G4204" s="131">
        <f t="shared" si="247"/>
        <v>151096.98808512001</v>
      </c>
      <c r="H4204" s="156">
        <v>220130.85</v>
      </c>
      <c r="I4204" s="156">
        <v>273942.93</v>
      </c>
      <c r="J4204" s="156">
        <v>0</v>
      </c>
      <c r="K4204" s="131">
        <f t="shared" si="248"/>
        <v>494073.78</v>
      </c>
      <c r="L4204" s="134">
        <v>0.1792</v>
      </c>
    </row>
    <row r="4205" spans="3:12">
      <c r="C4205" s="161">
        <f t="shared" si="246"/>
        <v>2020</v>
      </c>
      <c r="D4205" s="35" t="s">
        <v>322</v>
      </c>
      <c r="E4205" s="227">
        <v>43952</v>
      </c>
      <c r="F4205" s="156">
        <v>804578.01</v>
      </c>
      <c r="G4205" s="131">
        <f t="shared" si="247"/>
        <v>144180.379392</v>
      </c>
      <c r="H4205" s="156">
        <v>9114.4</v>
      </c>
      <c r="I4205" s="156">
        <v>495932.53</v>
      </c>
      <c r="J4205" s="156">
        <v>0</v>
      </c>
      <c r="K4205" s="131">
        <f t="shared" si="248"/>
        <v>505046.93000000005</v>
      </c>
      <c r="L4205" s="134">
        <v>0.1792</v>
      </c>
    </row>
    <row r="4206" spans="3:12">
      <c r="C4206" s="161">
        <f t="shared" si="246"/>
        <v>2020</v>
      </c>
      <c r="D4206" s="35" t="s">
        <v>322</v>
      </c>
      <c r="E4206" s="227">
        <v>43983</v>
      </c>
      <c r="F4206" s="156">
        <v>814465.92</v>
      </c>
      <c r="G4206" s="131">
        <f t="shared" si="247"/>
        <v>145952.29286400002</v>
      </c>
      <c r="H4206" s="156">
        <v>28989.95</v>
      </c>
      <c r="I4206" s="156">
        <v>514180.99</v>
      </c>
      <c r="J4206" s="156">
        <v>0</v>
      </c>
      <c r="K4206" s="131">
        <f t="shared" si="248"/>
        <v>543170.93999999994</v>
      </c>
      <c r="L4206" s="134">
        <v>0.1792</v>
      </c>
    </row>
    <row r="4207" spans="3:12">
      <c r="C4207" s="161">
        <f t="shared" si="246"/>
        <v>2020</v>
      </c>
      <c r="D4207" s="35" t="s">
        <v>322</v>
      </c>
      <c r="E4207" s="227">
        <v>44013</v>
      </c>
      <c r="F4207" s="156">
        <v>786665.77</v>
      </c>
      <c r="G4207" s="131">
        <f t="shared" si="247"/>
        <v>140970.50598399999</v>
      </c>
      <c r="H4207" s="156">
        <v>5946.14</v>
      </c>
      <c r="I4207" s="156">
        <v>988703.18</v>
      </c>
      <c r="J4207" s="156">
        <v>0</v>
      </c>
      <c r="K4207" s="131">
        <f t="shared" si="248"/>
        <v>994649.32000000007</v>
      </c>
      <c r="L4207" s="134">
        <v>0.1792</v>
      </c>
    </row>
    <row r="4208" spans="3:12">
      <c r="C4208" s="161">
        <f t="shared" si="246"/>
        <v>2020</v>
      </c>
      <c r="D4208" s="35" t="s">
        <v>322</v>
      </c>
      <c r="E4208" s="227">
        <v>44044</v>
      </c>
      <c r="F4208" s="156">
        <v>859670.42</v>
      </c>
      <c r="G4208" s="131">
        <f t="shared" si="247"/>
        <v>154052.93926400002</v>
      </c>
      <c r="H4208" s="156">
        <v>40123.949999999997</v>
      </c>
      <c r="I4208" s="156">
        <v>1227654.26</v>
      </c>
      <c r="J4208" s="156">
        <v>0</v>
      </c>
      <c r="K4208" s="131">
        <f t="shared" si="248"/>
        <v>1267778.21</v>
      </c>
      <c r="L4208" s="134">
        <v>0.1792</v>
      </c>
    </row>
    <row r="4209" spans="3:12">
      <c r="C4209" s="161">
        <f t="shared" si="246"/>
        <v>2020</v>
      </c>
      <c r="D4209" s="35" t="s">
        <v>322</v>
      </c>
      <c r="E4209" s="227">
        <v>44075</v>
      </c>
      <c r="F4209" s="156">
        <v>949259.24</v>
      </c>
      <c r="G4209" s="131">
        <f t="shared" si="247"/>
        <v>170107.25580799999</v>
      </c>
      <c r="H4209" s="156">
        <v>9761.14</v>
      </c>
      <c r="I4209" s="156">
        <v>1309935.8700000001</v>
      </c>
      <c r="J4209" s="156">
        <v>0</v>
      </c>
      <c r="K4209" s="131">
        <f t="shared" si="248"/>
        <v>1319697.01</v>
      </c>
      <c r="L4209" s="134">
        <v>0.1792</v>
      </c>
    </row>
    <row r="4210" spans="3:12">
      <c r="C4210" s="161">
        <f t="shared" si="246"/>
        <v>2020</v>
      </c>
      <c r="D4210" s="35" t="s">
        <v>322</v>
      </c>
      <c r="E4210" s="227">
        <v>44105</v>
      </c>
      <c r="F4210" s="156">
        <v>1000247.7</v>
      </c>
      <c r="G4210" s="131">
        <f t="shared" si="247"/>
        <v>179244.38783999998</v>
      </c>
      <c r="H4210" s="156">
        <v>1095159.43</v>
      </c>
      <c r="I4210" s="156">
        <v>1232373.6200000001</v>
      </c>
      <c r="J4210" s="156">
        <v>18195</v>
      </c>
      <c r="K4210" s="131">
        <f t="shared" si="248"/>
        <v>2345728.0499999998</v>
      </c>
      <c r="L4210" s="134">
        <v>0.1792</v>
      </c>
    </row>
    <row r="4211" spans="3:12">
      <c r="C4211" s="161">
        <f t="shared" si="246"/>
        <v>2020</v>
      </c>
      <c r="D4211" s="35" t="s">
        <v>322</v>
      </c>
      <c r="E4211" s="227">
        <v>44136</v>
      </c>
      <c r="F4211" s="156">
        <v>910753.98</v>
      </c>
      <c r="G4211" s="131">
        <f t="shared" si="247"/>
        <v>163207.113216</v>
      </c>
      <c r="H4211" s="156">
        <v>4488.1499999999996</v>
      </c>
      <c r="I4211" s="156">
        <v>878122.97</v>
      </c>
      <c r="J4211" s="156">
        <v>0</v>
      </c>
      <c r="K4211" s="131">
        <f t="shared" si="248"/>
        <v>882611.12</v>
      </c>
      <c r="L4211" s="134">
        <v>0.1792</v>
      </c>
    </row>
    <row r="4212" spans="3:12">
      <c r="C4212" s="161">
        <f t="shared" si="246"/>
        <v>2020</v>
      </c>
      <c r="D4212" s="35" t="s">
        <v>322</v>
      </c>
      <c r="E4212" s="227">
        <v>44166</v>
      </c>
      <c r="F4212" s="156">
        <v>961678.04</v>
      </c>
      <c r="G4212" s="131">
        <f t="shared" si="247"/>
        <v>172332.704768</v>
      </c>
      <c r="H4212" s="156">
        <v>30615.68</v>
      </c>
      <c r="I4212" s="156">
        <v>279835.74</v>
      </c>
      <c r="J4212" s="156">
        <v>0</v>
      </c>
      <c r="K4212" s="131">
        <f t="shared" si="248"/>
        <v>310451.42</v>
      </c>
      <c r="L4212" s="134">
        <v>0.1792</v>
      </c>
    </row>
    <row r="4213" spans="3:12">
      <c r="C4213" s="161">
        <f t="shared" si="246"/>
        <v>2021</v>
      </c>
      <c r="D4213" s="35" t="s">
        <v>322</v>
      </c>
      <c r="E4213" s="227">
        <v>44197</v>
      </c>
      <c r="F4213" s="156">
        <v>949638.7</v>
      </c>
      <c r="G4213" s="131">
        <f t="shared" si="247"/>
        <v>170175.25503999999</v>
      </c>
      <c r="H4213" s="156">
        <v>5953.33</v>
      </c>
      <c r="I4213" s="156">
        <v>218194.56</v>
      </c>
      <c r="J4213" s="156">
        <v>0</v>
      </c>
      <c r="K4213" s="131">
        <f t="shared" si="248"/>
        <v>224147.88999999998</v>
      </c>
      <c r="L4213" s="134">
        <v>0.1792</v>
      </c>
    </row>
    <row r="4214" spans="3:12">
      <c r="C4214" s="161">
        <f t="shared" si="246"/>
        <v>2021</v>
      </c>
      <c r="D4214" s="35" t="s">
        <v>322</v>
      </c>
      <c r="E4214" s="227">
        <v>44229</v>
      </c>
      <c r="F4214" s="156">
        <v>904223.31</v>
      </c>
      <c r="G4214" s="131">
        <f t="shared" si="247"/>
        <v>162036.817152</v>
      </c>
      <c r="H4214" s="156">
        <v>67045.91</v>
      </c>
      <c r="I4214" s="156">
        <v>99991.039999999994</v>
      </c>
      <c r="J4214" s="156">
        <v>0</v>
      </c>
      <c r="K4214" s="131">
        <f t="shared" si="248"/>
        <v>167036.95000000001</v>
      </c>
      <c r="L4214" s="134">
        <v>0.1792</v>
      </c>
    </row>
    <row r="4215" spans="3:12">
      <c r="C4215" s="161">
        <f t="shared" si="246"/>
        <v>2021</v>
      </c>
      <c r="D4215" s="35" t="s">
        <v>322</v>
      </c>
      <c r="E4215" s="227">
        <v>44258</v>
      </c>
      <c r="F4215" s="156">
        <v>876458.18</v>
      </c>
      <c r="G4215" s="131">
        <f t="shared" si="247"/>
        <v>157061.30585600002</v>
      </c>
      <c r="H4215" s="156">
        <v>117799.89</v>
      </c>
      <c r="I4215" s="156">
        <v>121303.18</v>
      </c>
      <c r="J4215" s="156">
        <v>0</v>
      </c>
      <c r="K4215" s="131">
        <f t="shared" si="248"/>
        <v>239103.07</v>
      </c>
      <c r="L4215" s="134">
        <v>0.1792</v>
      </c>
    </row>
    <row r="4216" spans="3:12">
      <c r="C4216" s="161">
        <f t="shared" si="246"/>
        <v>2021</v>
      </c>
      <c r="D4216" s="35" t="s">
        <v>322</v>
      </c>
      <c r="E4216" s="227">
        <v>44290</v>
      </c>
      <c r="F4216" s="156">
        <v>966183.29</v>
      </c>
      <c r="G4216" s="131">
        <f t="shared" si="247"/>
        <v>173140.045568</v>
      </c>
      <c r="H4216" s="156">
        <v>36193.64</v>
      </c>
      <c r="I4216" s="156">
        <v>84217.18</v>
      </c>
      <c r="J4216" s="156">
        <v>0</v>
      </c>
      <c r="K4216" s="131">
        <f t="shared" si="248"/>
        <v>120410.81999999999</v>
      </c>
      <c r="L4216" s="134">
        <v>0.1792</v>
      </c>
    </row>
    <row r="4217" spans="3:12">
      <c r="C4217" s="161">
        <f t="shared" si="246"/>
        <v>2021</v>
      </c>
      <c r="D4217" s="35" t="s">
        <v>322</v>
      </c>
      <c r="E4217" s="227">
        <v>44321</v>
      </c>
      <c r="F4217" s="156">
        <v>921891.56</v>
      </c>
      <c r="G4217" s="131">
        <f t="shared" si="247"/>
        <v>165202.96755200002</v>
      </c>
      <c r="H4217" s="156">
        <v>12813.94</v>
      </c>
      <c r="I4217" s="156">
        <v>104001.72</v>
      </c>
      <c r="J4217" s="156">
        <v>10278.92</v>
      </c>
      <c r="K4217" s="131">
        <f t="shared" si="248"/>
        <v>127094.58</v>
      </c>
      <c r="L4217" s="134">
        <v>0.1792</v>
      </c>
    </row>
    <row r="4218" spans="3:12">
      <c r="C4218" s="161">
        <f t="shared" si="246"/>
        <v>2021</v>
      </c>
      <c r="D4218" s="35" t="s">
        <v>322</v>
      </c>
      <c r="E4218" s="227">
        <v>44353</v>
      </c>
      <c r="F4218" s="156">
        <v>912400.67</v>
      </c>
      <c r="G4218" s="131">
        <f t="shared" si="247"/>
        <v>163502.200064</v>
      </c>
      <c r="H4218" s="156">
        <v>4059.95</v>
      </c>
      <c r="I4218" s="156">
        <v>100906.12</v>
      </c>
      <c r="J4218" s="156">
        <v>0</v>
      </c>
      <c r="K4218" s="131">
        <f t="shared" si="248"/>
        <v>104966.06999999999</v>
      </c>
      <c r="L4218" s="134">
        <v>0.1792</v>
      </c>
    </row>
    <row r="4219" spans="3:12">
      <c r="C4219" s="161">
        <f t="shared" si="246"/>
        <v>2015</v>
      </c>
      <c r="D4219" s="35" t="s">
        <v>323</v>
      </c>
      <c r="E4219" s="227">
        <v>42309</v>
      </c>
      <c r="F4219" s="156">
        <v>307062.84999999998</v>
      </c>
      <c r="G4219" s="131">
        <f t="shared" si="247"/>
        <v>55025.662719999993</v>
      </c>
      <c r="H4219" s="156">
        <v>1166.19</v>
      </c>
      <c r="I4219" s="156">
        <v>0</v>
      </c>
      <c r="J4219" s="156">
        <v>29495.99</v>
      </c>
      <c r="K4219" s="131">
        <f t="shared" si="248"/>
        <v>30662.18</v>
      </c>
      <c r="L4219" s="134">
        <v>0.1792</v>
      </c>
    </row>
    <row r="4220" spans="3:12">
      <c r="C4220" s="161">
        <f t="shared" si="246"/>
        <v>2015</v>
      </c>
      <c r="D4220" s="35" t="s">
        <v>323</v>
      </c>
      <c r="E4220" s="227">
        <v>42339</v>
      </c>
      <c r="F4220" s="156">
        <v>281659.58</v>
      </c>
      <c r="G4220" s="131">
        <f t="shared" si="247"/>
        <v>50473.396736000002</v>
      </c>
      <c r="H4220" s="156">
        <v>2214.23</v>
      </c>
      <c r="I4220" s="156">
        <v>0</v>
      </c>
      <c r="J4220" s="156">
        <v>0</v>
      </c>
      <c r="K4220" s="131">
        <f t="shared" si="248"/>
        <v>2214.23</v>
      </c>
      <c r="L4220" s="134">
        <v>0.1792</v>
      </c>
    </row>
    <row r="4221" spans="3:12">
      <c r="C4221" s="161">
        <f t="shared" si="246"/>
        <v>2016</v>
      </c>
      <c r="D4221" s="35" t="s">
        <v>323</v>
      </c>
      <c r="E4221" s="227">
        <v>42370</v>
      </c>
      <c r="F4221" s="156">
        <v>283746.93</v>
      </c>
      <c r="G4221" s="131">
        <f t="shared" si="247"/>
        <v>50847.449855999999</v>
      </c>
      <c r="H4221" s="156">
        <v>4156.2299999999996</v>
      </c>
      <c r="I4221" s="156">
        <v>0</v>
      </c>
      <c r="J4221" s="156">
        <v>0</v>
      </c>
      <c r="K4221" s="131">
        <f t="shared" si="248"/>
        <v>4156.2299999999996</v>
      </c>
      <c r="L4221" s="134">
        <v>0.1792</v>
      </c>
    </row>
    <row r="4222" spans="3:12">
      <c r="C4222" s="161">
        <f t="shared" si="246"/>
        <v>2016</v>
      </c>
      <c r="D4222" s="35" t="s">
        <v>323</v>
      </c>
      <c r="E4222" s="227">
        <v>42401</v>
      </c>
      <c r="F4222" s="156">
        <v>273686.05</v>
      </c>
      <c r="G4222" s="131">
        <f t="shared" si="247"/>
        <v>49044.540159999997</v>
      </c>
      <c r="H4222" s="156">
        <v>4557.75</v>
      </c>
      <c r="I4222" s="156">
        <v>0</v>
      </c>
      <c r="J4222" s="156">
        <v>2330</v>
      </c>
      <c r="K4222" s="131">
        <f t="shared" si="248"/>
        <v>6887.75</v>
      </c>
      <c r="L4222" s="134">
        <v>0.1792</v>
      </c>
    </row>
    <row r="4223" spans="3:12">
      <c r="C4223" s="161">
        <f t="shared" si="246"/>
        <v>2016</v>
      </c>
      <c r="D4223" s="35" t="s">
        <v>323</v>
      </c>
      <c r="E4223" s="227">
        <v>42430</v>
      </c>
      <c r="F4223" s="156">
        <v>248168.13</v>
      </c>
      <c r="G4223" s="131">
        <f t="shared" si="247"/>
        <v>44471.728896000001</v>
      </c>
      <c r="H4223" s="156">
        <v>12672.94</v>
      </c>
      <c r="I4223" s="156">
        <v>0</v>
      </c>
      <c r="J4223" s="156">
        <v>0</v>
      </c>
      <c r="K4223" s="131">
        <f t="shared" si="248"/>
        <v>12672.94</v>
      </c>
      <c r="L4223" s="134">
        <v>0.1792</v>
      </c>
    </row>
    <row r="4224" spans="3:12">
      <c r="C4224" s="161">
        <f t="shared" si="246"/>
        <v>2016</v>
      </c>
      <c r="D4224" s="35" t="s">
        <v>323</v>
      </c>
      <c r="E4224" s="227">
        <v>42461</v>
      </c>
      <c r="F4224" s="156">
        <v>286878.53999999998</v>
      </c>
      <c r="G4224" s="131">
        <f t="shared" si="247"/>
        <v>51408.634367999999</v>
      </c>
      <c r="H4224" s="156">
        <v>12198.67</v>
      </c>
      <c r="I4224" s="156">
        <v>0</v>
      </c>
      <c r="J4224" s="156">
        <v>0</v>
      </c>
      <c r="K4224" s="131">
        <f t="shared" si="248"/>
        <v>12198.67</v>
      </c>
      <c r="L4224" s="134">
        <v>0.1792</v>
      </c>
    </row>
    <row r="4225" spans="3:12">
      <c r="C4225" s="161">
        <f t="shared" si="246"/>
        <v>2016</v>
      </c>
      <c r="D4225" s="35" t="s">
        <v>323</v>
      </c>
      <c r="E4225" s="227">
        <v>42491</v>
      </c>
      <c r="F4225" s="156">
        <v>280848.68</v>
      </c>
      <c r="G4225" s="131">
        <f t="shared" si="247"/>
        <v>50328.083456</v>
      </c>
      <c r="H4225" s="156">
        <v>21051.96</v>
      </c>
      <c r="I4225" s="156">
        <v>0</v>
      </c>
      <c r="J4225" s="156">
        <v>0</v>
      </c>
      <c r="K4225" s="131">
        <f t="shared" si="248"/>
        <v>21051.96</v>
      </c>
      <c r="L4225" s="134">
        <v>0.1792</v>
      </c>
    </row>
    <row r="4226" spans="3:12">
      <c r="C4226" s="161">
        <f t="shared" si="246"/>
        <v>2016</v>
      </c>
      <c r="D4226" s="35" t="s">
        <v>323</v>
      </c>
      <c r="E4226" s="227">
        <v>42522</v>
      </c>
      <c r="F4226" s="156">
        <v>280895.83</v>
      </c>
      <c r="G4226" s="131">
        <f t="shared" si="247"/>
        <v>50336.532736000001</v>
      </c>
      <c r="H4226" s="156">
        <v>26270.92</v>
      </c>
      <c r="I4226" s="156">
        <v>0</v>
      </c>
      <c r="J4226" s="156">
        <v>4295.3500000000004</v>
      </c>
      <c r="K4226" s="131">
        <f t="shared" si="248"/>
        <v>30566.269999999997</v>
      </c>
      <c r="L4226" s="134">
        <v>0.1792</v>
      </c>
    </row>
    <row r="4227" spans="3:12">
      <c r="C4227" s="161">
        <f t="shared" si="246"/>
        <v>2016</v>
      </c>
      <c r="D4227" s="35" t="s">
        <v>323</v>
      </c>
      <c r="E4227" s="227">
        <v>42552</v>
      </c>
      <c r="F4227" s="156">
        <v>317039.13</v>
      </c>
      <c r="G4227" s="131">
        <f t="shared" si="247"/>
        <v>56813.412096</v>
      </c>
      <c r="H4227" s="156">
        <v>5355.03</v>
      </c>
      <c r="I4227" s="156">
        <v>0</v>
      </c>
      <c r="J4227" s="156">
        <v>0</v>
      </c>
      <c r="K4227" s="131">
        <f t="shared" si="248"/>
        <v>5355.03</v>
      </c>
      <c r="L4227" s="134">
        <v>0.1792</v>
      </c>
    </row>
    <row r="4228" spans="3:12">
      <c r="C4228" s="161">
        <f t="shared" ref="C4228:C4291" si="249">YEAR(E4228)</f>
        <v>2016</v>
      </c>
      <c r="D4228" s="35" t="s">
        <v>323</v>
      </c>
      <c r="E4228" s="227">
        <v>42583</v>
      </c>
      <c r="F4228" s="156">
        <v>334745.65000000002</v>
      </c>
      <c r="G4228" s="131">
        <f t="shared" ref="G4228:G4291" si="250">F4228*L4228</f>
        <v>59986.420480000001</v>
      </c>
      <c r="H4228" s="156">
        <v>7847.63</v>
      </c>
      <c r="I4228" s="156">
        <v>0</v>
      </c>
      <c r="J4228" s="156">
        <v>1770</v>
      </c>
      <c r="K4228" s="131">
        <f t="shared" ref="K4228:K4291" si="251">SUM(H4228:J4228)</f>
        <v>9617.630000000001</v>
      </c>
      <c r="L4228" s="134">
        <v>0.1792</v>
      </c>
    </row>
    <row r="4229" spans="3:12">
      <c r="C4229" s="161">
        <f t="shared" si="249"/>
        <v>2016</v>
      </c>
      <c r="D4229" s="35" t="s">
        <v>323</v>
      </c>
      <c r="E4229" s="227">
        <v>42614</v>
      </c>
      <c r="F4229" s="156">
        <v>312449.5</v>
      </c>
      <c r="G4229" s="131">
        <f t="shared" si="250"/>
        <v>55990.950400000002</v>
      </c>
      <c r="H4229" s="156">
        <v>3533.2</v>
      </c>
      <c r="I4229" s="156">
        <v>0</v>
      </c>
      <c r="J4229" s="156">
        <v>0</v>
      </c>
      <c r="K4229" s="131">
        <f t="shared" si="251"/>
        <v>3533.2</v>
      </c>
      <c r="L4229" s="134">
        <v>0.1792</v>
      </c>
    </row>
    <row r="4230" spans="3:12">
      <c r="C4230" s="161">
        <f t="shared" si="249"/>
        <v>2016</v>
      </c>
      <c r="D4230" s="35" t="s">
        <v>323</v>
      </c>
      <c r="E4230" s="227">
        <v>42644</v>
      </c>
      <c r="F4230" s="156">
        <v>329806.90999999997</v>
      </c>
      <c r="G4230" s="131">
        <f t="shared" si="250"/>
        <v>59101.398271999991</v>
      </c>
      <c r="H4230" s="156">
        <v>2774.99</v>
      </c>
      <c r="I4230" s="156">
        <v>0</v>
      </c>
      <c r="J4230" s="156">
        <v>0</v>
      </c>
      <c r="K4230" s="131">
        <f t="shared" si="251"/>
        <v>2774.99</v>
      </c>
      <c r="L4230" s="134">
        <v>0.1792</v>
      </c>
    </row>
    <row r="4231" spans="3:12">
      <c r="C4231" s="161">
        <f t="shared" si="249"/>
        <v>2016</v>
      </c>
      <c r="D4231" s="35" t="s">
        <v>323</v>
      </c>
      <c r="E4231" s="227">
        <v>42675</v>
      </c>
      <c r="F4231" s="156">
        <v>291896.09000000003</v>
      </c>
      <c r="G4231" s="131">
        <f t="shared" si="250"/>
        <v>52307.779328000004</v>
      </c>
      <c r="H4231" s="156">
        <v>6685.19</v>
      </c>
      <c r="I4231" s="156">
        <v>0</v>
      </c>
      <c r="J4231" s="156">
        <v>0</v>
      </c>
      <c r="K4231" s="131">
        <f t="shared" si="251"/>
        <v>6685.19</v>
      </c>
      <c r="L4231" s="134">
        <v>0.1792</v>
      </c>
    </row>
    <row r="4232" spans="3:12">
      <c r="C4232" s="161">
        <f t="shared" si="249"/>
        <v>2016</v>
      </c>
      <c r="D4232" s="35" t="s">
        <v>323</v>
      </c>
      <c r="E4232" s="227">
        <v>42705</v>
      </c>
      <c r="F4232" s="156">
        <v>309275.42</v>
      </c>
      <c r="G4232" s="131">
        <f t="shared" si="250"/>
        <v>55422.155263999994</v>
      </c>
      <c r="H4232" s="156">
        <v>2870.73</v>
      </c>
      <c r="I4232" s="156">
        <v>0</v>
      </c>
      <c r="J4232" s="156">
        <v>0</v>
      </c>
      <c r="K4232" s="131">
        <f t="shared" si="251"/>
        <v>2870.73</v>
      </c>
      <c r="L4232" s="134">
        <v>0.1792</v>
      </c>
    </row>
    <row r="4233" spans="3:12">
      <c r="C4233" s="161">
        <f t="shared" si="249"/>
        <v>2017</v>
      </c>
      <c r="D4233" s="35" t="s">
        <v>323</v>
      </c>
      <c r="E4233" s="227">
        <v>42736</v>
      </c>
      <c r="F4233" s="156">
        <v>316644.51</v>
      </c>
      <c r="G4233" s="131">
        <f t="shared" si="250"/>
        <v>56742.696192000003</v>
      </c>
      <c r="H4233" s="156">
        <v>970.32</v>
      </c>
      <c r="I4233" s="156">
        <v>0</v>
      </c>
      <c r="J4233" s="156">
        <v>602.20000000000005</v>
      </c>
      <c r="K4233" s="131">
        <f t="shared" si="251"/>
        <v>1572.52</v>
      </c>
      <c r="L4233" s="134">
        <v>0.1792</v>
      </c>
    </row>
    <row r="4234" spans="3:12">
      <c r="C4234" s="161">
        <f t="shared" si="249"/>
        <v>2017</v>
      </c>
      <c r="D4234" s="35" t="s">
        <v>323</v>
      </c>
      <c r="E4234" s="227">
        <v>42767</v>
      </c>
      <c r="F4234" s="156">
        <v>288658.90000000002</v>
      </c>
      <c r="G4234" s="131">
        <f t="shared" si="250"/>
        <v>51727.674880000006</v>
      </c>
      <c r="H4234" s="156">
        <v>9623.24</v>
      </c>
      <c r="I4234" s="156">
        <v>0</v>
      </c>
      <c r="J4234" s="156">
        <v>1400</v>
      </c>
      <c r="K4234" s="131">
        <f t="shared" si="251"/>
        <v>11023.24</v>
      </c>
      <c r="L4234" s="134">
        <v>0.1792</v>
      </c>
    </row>
    <row r="4235" spans="3:12">
      <c r="C4235" s="161">
        <f t="shared" si="249"/>
        <v>2017</v>
      </c>
      <c r="D4235" s="35" t="s">
        <v>323</v>
      </c>
      <c r="E4235" s="227">
        <v>42795</v>
      </c>
      <c r="F4235" s="156">
        <v>295433.55</v>
      </c>
      <c r="G4235" s="131">
        <f t="shared" si="250"/>
        <v>52941.692159999999</v>
      </c>
      <c r="H4235" s="156">
        <v>2399.4699999999998</v>
      </c>
      <c r="I4235" s="156">
        <v>0</v>
      </c>
      <c r="J4235" s="156">
        <v>0</v>
      </c>
      <c r="K4235" s="131">
        <f t="shared" si="251"/>
        <v>2399.4699999999998</v>
      </c>
      <c r="L4235" s="134">
        <v>0.1792</v>
      </c>
    </row>
    <row r="4236" spans="3:12">
      <c r="C4236" s="161">
        <f t="shared" si="249"/>
        <v>2017</v>
      </c>
      <c r="D4236" s="35" t="s">
        <v>323</v>
      </c>
      <c r="E4236" s="227">
        <v>42826</v>
      </c>
      <c r="F4236" s="156">
        <v>295952.37</v>
      </c>
      <c r="G4236" s="131">
        <f t="shared" si="250"/>
        <v>53034.664703999995</v>
      </c>
      <c r="H4236" s="156">
        <v>1734.92</v>
      </c>
      <c r="I4236" s="156">
        <v>0</v>
      </c>
      <c r="J4236" s="156">
        <v>0</v>
      </c>
      <c r="K4236" s="131">
        <f t="shared" si="251"/>
        <v>1734.92</v>
      </c>
      <c r="L4236" s="134">
        <v>0.1792</v>
      </c>
    </row>
    <row r="4237" spans="3:12">
      <c r="C4237" s="161">
        <f t="shared" si="249"/>
        <v>2017</v>
      </c>
      <c r="D4237" s="35" t="s">
        <v>323</v>
      </c>
      <c r="E4237" s="227">
        <v>42856</v>
      </c>
      <c r="F4237" s="156">
        <v>297832.89</v>
      </c>
      <c r="G4237" s="131">
        <f t="shared" si="250"/>
        <v>53371.653888000001</v>
      </c>
      <c r="H4237" s="156">
        <v>7261.66</v>
      </c>
      <c r="I4237" s="156">
        <v>0</v>
      </c>
      <c r="J4237" s="156">
        <v>0</v>
      </c>
      <c r="K4237" s="131">
        <f t="shared" si="251"/>
        <v>7261.66</v>
      </c>
      <c r="L4237" s="134">
        <v>0.1792</v>
      </c>
    </row>
    <row r="4238" spans="3:12">
      <c r="C4238" s="161">
        <f t="shared" si="249"/>
        <v>2017</v>
      </c>
      <c r="D4238" s="35" t="s">
        <v>323</v>
      </c>
      <c r="E4238" s="227">
        <v>42887</v>
      </c>
      <c r="F4238" s="156">
        <v>301413.40999999997</v>
      </c>
      <c r="G4238" s="131">
        <f t="shared" si="250"/>
        <v>54013.283071999998</v>
      </c>
      <c r="H4238" s="156">
        <v>41249.61</v>
      </c>
      <c r="I4238" s="156">
        <v>0</v>
      </c>
      <c r="J4238" s="156">
        <v>0</v>
      </c>
      <c r="K4238" s="131">
        <f t="shared" si="251"/>
        <v>41249.61</v>
      </c>
      <c r="L4238" s="134">
        <v>0.1792</v>
      </c>
    </row>
    <row r="4239" spans="3:12">
      <c r="C4239" s="161">
        <f t="shared" si="249"/>
        <v>2017</v>
      </c>
      <c r="D4239" s="35" t="s">
        <v>323</v>
      </c>
      <c r="E4239" s="227">
        <v>42917</v>
      </c>
      <c r="F4239" s="156">
        <v>321735.87</v>
      </c>
      <c r="G4239" s="131">
        <f t="shared" si="250"/>
        <v>57655.067903999996</v>
      </c>
      <c r="H4239" s="156">
        <v>12758</v>
      </c>
      <c r="I4239" s="156">
        <v>0</v>
      </c>
      <c r="J4239" s="156">
        <v>0</v>
      </c>
      <c r="K4239" s="131">
        <f t="shared" si="251"/>
        <v>12758</v>
      </c>
      <c r="L4239" s="134">
        <v>0.1792</v>
      </c>
    </row>
    <row r="4240" spans="3:12">
      <c r="C4240" s="161">
        <f t="shared" si="249"/>
        <v>2017</v>
      </c>
      <c r="D4240" s="35" t="s">
        <v>323</v>
      </c>
      <c r="E4240" s="227">
        <v>42948</v>
      </c>
      <c r="F4240" s="156">
        <v>348251.26</v>
      </c>
      <c r="G4240" s="131">
        <f t="shared" si="250"/>
        <v>62406.625791999999</v>
      </c>
      <c r="H4240" s="156">
        <v>2587.04</v>
      </c>
      <c r="I4240" s="156">
        <v>0</v>
      </c>
      <c r="J4240" s="156">
        <v>0</v>
      </c>
      <c r="K4240" s="131">
        <f t="shared" si="251"/>
        <v>2587.04</v>
      </c>
      <c r="L4240" s="134">
        <v>0.1792</v>
      </c>
    </row>
    <row r="4241" spans="3:12">
      <c r="C4241" s="161">
        <f t="shared" si="249"/>
        <v>2017</v>
      </c>
      <c r="D4241" s="35" t="s">
        <v>323</v>
      </c>
      <c r="E4241" s="227">
        <v>42979</v>
      </c>
      <c r="F4241" s="156">
        <v>364788.04</v>
      </c>
      <c r="G4241" s="131">
        <f t="shared" si="250"/>
        <v>65370.016767999994</v>
      </c>
      <c r="H4241" s="156">
        <v>5218.25</v>
      </c>
      <c r="I4241" s="156">
        <v>0</v>
      </c>
      <c r="J4241" s="156">
        <v>0</v>
      </c>
      <c r="K4241" s="131">
        <f t="shared" si="251"/>
        <v>5218.25</v>
      </c>
      <c r="L4241" s="134">
        <v>0.1792</v>
      </c>
    </row>
    <row r="4242" spans="3:12">
      <c r="C4242" s="161">
        <f t="shared" si="249"/>
        <v>2017</v>
      </c>
      <c r="D4242" s="35" t="s">
        <v>323</v>
      </c>
      <c r="E4242" s="227">
        <v>43009</v>
      </c>
      <c r="F4242" s="156">
        <v>323591.05</v>
      </c>
      <c r="G4242" s="131">
        <f t="shared" si="250"/>
        <v>57987.516159999999</v>
      </c>
      <c r="H4242" s="156">
        <v>1700.24</v>
      </c>
      <c r="I4242" s="156">
        <v>0</v>
      </c>
      <c r="J4242" s="156">
        <v>0</v>
      </c>
      <c r="K4242" s="131">
        <f t="shared" si="251"/>
        <v>1700.24</v>
      </c>
      <c r="L4242" s="134">
        <v>0.1792</v>
      </c>
    </row>
    <row r="4243" spans="3:12">
      <c r="C4243" s="161">
        <f t="shared" si="249"/>
        <v>2017</v>
      </c>
      <c r="D4243" s="35" t="s">
        <v>323</v>
      </c>
      <c r="E4243" s="227">
        <v>43040</v>
      </c>
      <c r="F4243" s="156">
        <v>328631.56</v>
      </c>
      <c r="G4243" s="131">
        <f t="shared" si="250"/>
        <v>58890.775551999999</v>
      </c>
      <c r="H4243" s="156">
        <v>1578.44</v>
      </c>
      <c r="I4243" s="156">
        <v>0</v>
      </c>
      <c r="J4243" s="156">
        <v>0</v>
      </c>
      <c r="K4243" s="131">
        <f t="shared" si="251"/>
        <v>1578.44</v>
      </c>
      <c r="L4243" s="134">
        <v>0.1792</v>
      </c>
    </row>
    <row r="4244" spans="3:12">
      <c r="C4244" s="161">
        <f t="shared" si="249"/>
        <v>2017</v>
      </c>
      <c r="D4244" s="35" t="s">
        <v>323</v>
      </c>
      <c r="E4244" s="227">
        <v>43070</v>
      </c>
      <c r="F4244" s="156">
        <v>316544.62</v>
      </c>
      <c r="G4244" s="131">
        <f t="shared" si="250"/>
        <v>56724.795903999999</v>
      </c>
      <c r="H4244" s="156">
        <v>1299.07</v>
      </c>
      <c r="I4244" s="156">
        <v>0</v>
      </c>
      <c r="J4244" s="156">
        <v>0</v>
      </c>
      <c r="K4244" s="131">
        <f t="shared" si="251"/>
        <v>1299.07</v>
      </c>
      <c r="L4244" s="134">
        <v>0.1792</v>
      </c>
    </row>
    <row r="4245" spans="3:12">
      <c r="C4245" s="161">
        <f t="shared" si="249"/>
        <v>2018</v>
      </c>
      <c r="D4245" s="35" t="s">
        <v>323</v>
      </c>
      <c r="E4245" s="227">
        <v>43101</v>
      </c>
      <c r="F4245" s="156">
        <v>319649.33</v>
      </c>
      <c r="G4245" s="131">
        <f t="shared" si="250"/>
        <v>57281.159936000004</v>
      </c>
      <c r="H4245" s="156">
        <v>1036.8800000000001</v>
      </c>
      <c r="I4245" s="156">
        <v>0</v>
      </c>
      <c r="J4245" s="156">
        <v>0</v>
      </c>
      <c r="K4245" s="131">
        <f t="shared" si="251"/>
        <v>1036.8800000000001</v>
      </c>
      <c r="L4245" s="134">
        <v>0.1792</v>
      </c>
    </row>
    <row r="4246" spans="3:12">
      <c r="C4246" s="161">
        <f t="shared" si="249"/>
        <v>2018</v>
      </c>
      <c r="D4246" s="35" t="s">
        <v>323</v>
      </c>
      <c r="E4246" s="227">
        <v>43132</v>
      </c>
      <c r="F4246" s="156">
        <v>316908.03999999998</v>
      </c>
      <c r="G4246" s="131">
        <f t="shared" si="250"/>
        <v>56789.920767999996</v>
      </c>
      <c r="H4246" s="156">
        <v>6509.95</v>
      </c>
      <c r="I4246" s="156">
        <v>0</v>
      </c>
      <c r="J4246" s="156">
        <v>0</v>
      </c>
      <c r="K4246" s="131">
        <f t="shared" si="251"/>
        <v>6509.95</v>
      </c>
      <c r="L4246" s="134">
        <v>0.1792</v>
      </c>
    </row>
    <row r="4247" spans="3:12">
      <c r="C4247" s="161">
        <f t="shared" si="249"/>
        <v>2018</v>
      </c>
      <c r="D4247" s="35" t="s">
        <v>323</v>
      </c>
      <c r="E4247" s="227">
        <v>43160</v>
      </c>
      <c r="F4247" s="156">
        <v>285030.51</v>
      </c>
      <c r="G4247" s="131">
        <f t="shared" si="250"/>
        <v>51077.467391999999</v>
      </c>
      <c r="H4247" s="156">
        <v>1218.2</v>
      </c>
      <c r="I4247" s="156">
        <v>0</v>
      </c>
      <c r="J4247" s="156">
        <v>0</v>
      </c>
      <c r="K4247" s="131">
        <f t="shared" si="251"/>
        <v>1218.2</v>
      </c>
      <c r="L4247" s="134">
        <v>0.1792</v>
      </c>
    </row>
    <row r="4248" spans="3:12">
      <c r="C4248" s="161">
        <f t="shared" si="249"/>
        <v>2018</v>
      </c>
      <c r="D4248" s="35" t="s">
        <v>323</v>
      </c>
      <c r="E4248" s="227">
        <v>43191</v>
      </c>
      <c r="F4248" s="156">
        <v>304098.78000000003</v>
      </c>
      <c r="G4248" s="131">
        <f t="shared" si="250"/>
        <v>54494.501376000007</v>
      </c>
      <c r="H4248" s="156">
        <v>2277.19</v>
      </c>
      <c r="I4248" s="156">
        <v>0</v>
      </c>
      <c r="J4248" s="156">
        <v>0</v>
      </c>
      <c r="K4248" s="131">
        <f t="shared" si="251"/>
        <v>2277.19</v>
      </c>
      <c r="L4248" s="134">
        <v>0.1792</v>
      </c>
    </row>
    <row r="4249" spans="3:12">
      <c r="C4249" s="161">
        <f t="shared" si="249"/>
        <v>2018</v>
      </c>
      <c r="D4249" s="35" t="s">
        <v>323</v>
      </c>
      <c r="E4249" s="227">
        <v>43221</v>
      </c>
      <c r="F4249" s="156">
        <v>325511.62</v>
      </c>
      <c r="G4249" s="131">
        <f t="shared" si="250"/>
        <v>58331.682304000002</v>
      </c>
      <c r="H4249" s="156">
        <v>1288.96</v>
      </c>
      <c r="I4249" s="156">
        <v>0</v>
      </c>
      <c r="J4249" s="156">
        <v>0</v>
      </c>
      <c r="K4249" s="131">
        <f t="shared" si="251"/>
        <v>1288.96</v>
      </c>
      <c r="L4249" s="134">
        <v>0.1792</v>
      </c>
    </row>
    <row r="4250" spans="3:12">
      <c r="C4250" s="161">
        <f t="shared" si="249"/>
        <v>2018</v>
      </c>
      <c r="D4250" s="35" t="s">
        <v>323</v>
      </c>
      <c r="E4250" s="227">
        <v>43252</v>
      </c>
      <c r="F4250" s="156">
        <v>310740.21000000002</v>
      </c>
      <c r="G4250" s="131">
        <f t="shared" si="250"/>
        <v>55684.645632</v>
      </c>
      <c r="H4250" s="156">
        <v>936.62</v>
      </c>
      <c r="I4250" s="156">
        <v>0</v>
      </c>
      <c r="J4250" s="156">
        <v>0</v>
      </c>
      <c r="K4250" s="131">
        <f t="shared" si="251"/>
        <v>936.62</v>
      </c>
      <c r="L4250" s="134">
        <v>0.1792</v>
      </c>
    </row>
    <row r="4251" spans="3:12">
      <c r="C4251" s="161">
        <f t="shared" si="249"/>
        <v>2018</v>
      </c>
      <c r="D4251" s="35" t="s">
        <v>323</v>
      </c>
      <c r="E4251" s="227">
        <v>43282</v>
      </c>
      <c r="F4251" s="156">
        <v>334229.90999999997</v>
      </c>
      <c r="G4251" s="131">
        <f t="shared" si="250"/>
        <v>59893.999871999993</v>
      </c>
      <c r="H4251" s="156">
        <v>975.25</v>
      </c>
      <c r="I4251" s="156">
        <v>0</v>
      </c>
      <c r="J4251" s="156">
        <v>7697</v>
      </c>
      <c r="K4251" s="131">
        <f t="shared" si="251"/>
        <v>8672.25</v>
      </c>
      <c r="L4251" s="134">
        <v>0.1792</v>
      </c>
    </row>
    <row r="4252" spans="3:12">
      <c r="C4252" s="161">
        <f t="shared" si="249"/>
        <v>2018</v>
      </c>
      <c r="D4252" s="35" t="s">
        <v>323</v>
      </c>
      <c r="E4252" s="227">
        <v>43313</v>
      </c>
      <c r="F4252" s="156">
        <v>349505.59</v>
      </c>
      <c r="G4252" s="131">
        <f t="shared" si="250"/>
        <v>62631.401728000004</v>
      </c>
      <c r="H4252" s="156">
        <v>1847.27</v>
      </c>
      <c r="I4252" s="156">
        <v>0</v>
      </c>
      <c r="J4252" s="156">
        <v>0</v>
      </c>
      <c r="K4252" s="131">
        <f t="shared" si="251"/>
        <v>1847.27</v>
      </c>
      <c r="L4252" s="134">
        <v>0.1792</v>
      </c>
    </row>
    <row r="4253" spans="3:12">
      <c r="C4253" s="161">
        <f t="shared" si="249"/>
        <v>2018</v>
      </c>
      <c r="D4253" s="35" t="s">
        <v>323</v>
      </c>
      <c r="E4253" s="227">
        <v>43344</v>
      </c>
      <c r="F4253" s="156">
        <v>347789.44</v>
      </c>
      <c r="G4253" s="131">
        <f t="shared" si="250"/>
        <v>62323.867647999999</v>
      </c>
      <c r="H4253" s="156">
        <v>1690.62</v>
      </c>
      <c r="I4253" s="156">
        <v>0</v>
      </c>
      <c r="J4253" s="156">
        <v>0</v>
      </c>
      <c r="K4253" s="131">
        <f t="shared" si="251"/>
        <v>1690.62</v>
      </c>
      <c r="L4253" s="134">
        <v>0.1792</v>
      </c>
    </row>
    <row r="4254" spans="3:12">
      <c r="C4254" s="161">
        <f t="shared" si="249"/>
        <v>2018</v>
      </c>
      <c r="D4254" s="35" t="s">
        <v>323</v>
      </c>
      <c r="E4254" s="227">
        <v>43374</v>
      </c>
      <c r="F4254" s="156">
        <v>350025.12</v>
      </c>
      <c r="G4254" s="131">
        <f t="shared" si="250"/>
        <v>62724.501504</v>
      </c>
      <c r="H4254" s="156">
        <v>1194.46</v>
      </c>
      <c r="I4254" s="156">
        <v>0</v>
      </c>
      <c r="J4254" s="156">
        <v>0</v>
      </c>
      <c r="K4254" s="131">
        <f t="shared" si="251"/>
        <v>1194.46</v>
      </c>
      <c r="L4254" s="134">
        <v>0.1792</v>
      </c>
    </row>
    <row r="4255" spans="3:12">
      <c r="C4255" s="161">
        <f t="shared" si="249"/>
        <v>2018</v>
      </c>
      <c r="D4255" s="35" t="s">
        <v>323</v>
      </c>
      <c r="E4255" s="227">
        <v>43405</v>
      </c>
      <c r="F4255" s="156">
        <v>331229.38695000001</v>
      </c>
      <c r="G4255" s="131">
        <f t="shared" si="250"/>
        <v>59356.30614144</v>
      </c>
      <c r="H4255" s="156">
        <v>356.49</v>
      </c>
      <c r="I4255" s="156">
        <v>0</v>
      </c>
      <c r="J4255" s="156">
        <v>0</v>
      </c>
      <c r="K4255" s="131">
        <f t="shared" si="251"/>
        <v>356.49</v>
      </c>
      <c r="L4255" s="134">
        <v>0.1792</v>
      </c>
    </row>
    <row r="4256" spans="3:12">
      <c r="C4256" s="161">
        <f t="shared" si="249"/>
        <v>2018</v>
      </c>
      <c r="D4256" s="35" t="s">
        <v>323</v>
      </c>
      <c r="E4256" s="227">
        <v>43435</v>
      </c>
      <c r="F4256" s="156">
        <v>327626.94</v>
      </c>
      <c r="G4256" s="131">
        <f t="shared" si="250"/>
        <v>58710.747647999997</v>
      </c>
      <c r="H4256" s="156">
        <v>311.93</v>
      </c>
      <c r="I4256" s="156">
        <v>0</v>
      </c>
      <c r="J4256" s="156">
        <v>0</v>
      </c>
      <c r="K4256" s="131">
        <f t="shared" si="251"/>
        <v>311.93</v>
      </c>
      <c r="L4256" s="134">
        <v>0.1792</v>
      </c>
    </row>
    <row r="4257" spans="3:12">
      <c r="C4257" s="161">
        <f t="shared" si="249"/>
        <v>2019</v>
      </c>
      <c r="D4257" s="35" t="s">
        <v>323</v>
      </c>
      <c r="E4257" s="227">
        <v>43466</v>
      </c>
      <c r="F4257" s="156">
        <v>349900.64</v>
      </c>
      <c r="G4257" s="131">
        <f t="shared" si="250"/>
        <v>62702.194688000003</v>
      </c>
      <c r="H4257" s="156">
        <v>267.38</v>
      </c>
      <c r="I4257" s="156">
        <v>0</v>
      </c>
      <c r="J4257" s="156">
        <v>0</v>
      </c>
      <c r="K4257" s="131">
        <f t="shared" si="251"/>
        <v>267.38</v>
      </c>
      <c r="L4257" s="134">
        <v>0.1792</v>
      </c>
    </row>
    <row r="4258" spans="3:12">
      <c r="C4258" s="161">
        <f t="shared" si="249"/>
        <v>2019</v>
      </c>
      <c r="D4258" s="35" t="s">
        <v>323</v>
      </c>
      <c r="E4258" s="227">
        <v>43497</v>
      </c>
      <c r="F4258" s="156">
        <v>332969.94</v>
      </c>
      <c r="G4258" s="131">
        <f t="shared" si="250"/>
        <v>59668.213248</v>
      </c>
      <c r="H4258" s="156">
        <v>646.79</v>
      </c>
      <c r="I4258" s="156">
        <v>0</v>
      </c>
      <c r="J4258" s="156">
        <v>0</v>
      </c>
      <c r="K4258" s="131">
        <f t="shared" si="251"/>
        <v>646.79</v>
      </c>
      <c r="L4258" s="134">
        <v>0.1792</v>
      </c>
    </row>
    <row r="4259" spans="3:12">
      <c r="C4259" s="161">
        <f t="shared" si="249"/>
        <v>2019</v>
      </c>
      <c r="D4259" s="35" t="s">
        <v>323</v>
      </c>
      <c r="E4259" s="227">
        <v>43525</v>
      </c>
      <c r="F4259" s="156">
        <v>298465.52</v>
      </c>
      <c r="G4259" s="131">
        <f t="shared" si="250"/>
        <v>53485.021184000005</v>
      </c>
      <c r="H4259" s="156">
        <v>311.93</v>
      </c>
      <c r="I4259" s="156">
        <v>29970</v>
      </c>
      <c r="J4259" s="156">
        <v>0</v>
      </c>
      <c r="K4259" s="131">
        <f t="shared" si="251"/>
        <v>30281.93</v>
      </c>
      <c r="L4259" s="134">
        <v>0.1792</v>
      </c>
    </row>
    <row r="4260" spans="3:12">
      <c r="C4260" s="161">
        <f t="shared" si="249"/>
        <v>2019</v>
      </c>
      <c r="D4260" s="35" t="s">
        <v>323</v>
      </c>
      <c r="E4260" s="227">
        <v>43556</v>
      </c>
      <c r="F4260" s="156">
        <v>331342.52</v>
      </c>
      <c r="G4260" s="131">
        <f t="shared" si="250"/>
        <v>59376.579583999999</v>
      </c>
      <c r="H4260" s="156">
        <v>314.54000000000002</v>
      </c>
      <c r="I4260" s="156">
        <v>0</v>
      </c>
      <c r="J4260" s="156">
        <v>0</v>
      </c>
      <c r="K4260" s="131">
        <f t="shared" si="251"/>
        <v>314.54000000000002</v>
      </c>
      <c r="L4260" s="134">
        <v>0.1792</v>
      </c>
    </row>
    <row r="4261" spans="3:12">
      <c r="C4261" s="161">
        <f t="shared" si="249"/>
        <v>2019</v>
      </c>
      <c r="D4261" s="35" t="s">
        <v>323</v>
      </c>
      <c r="E4261" s="227">
        <v>43586</v>
      </c>
      <c r="F4261" s="156">
        <v>322379.90000000002</v>
      </c>
      <c r="G4261" s="131">
        <f t="shared" si="250"/>
        <v>57770.478080000001</v>
      </c>
      <c r="H4261" s="156">
        <v>859.13</v>
      </c>
      <c r="I4261" s="156">
        <v>69930</v>
      </c>
      <c r="J4261" s="156">
        <v>0</v>
      </c>
      <c r="K4261" s="131">
        <f t="shared" si="251"/>
        <v>70789.13</v>
      </c>
      <c r="L4261" s="134">
        <v>0.1792</v>
      </c>
    </row>
    <row r="4262" spans="3:12">
      <c r="C4262" s="161">
        <f t="shared" si="249"/>
        <v>2019</v>
      </c>
      <c r="D4262" s="35" t="s">
        <v>323</v>
      </c>
      <c r="E4262" s="227">
        <v>43617</v>
      </c>
      <c r="F4262" s="156">
        <v>327814.34999999998</v>
      </c>
      <c r="G4262" s="131">
        <f t="shared" si="250"/>
        <v>58744.331519999992</v>
      </c>
      <c r="H4262" s="156">
        <v>1913.22</v>
      </c>
      <c r="I4262" s="156">
        <v>0</v>
      </c>
      <c r="J4262" s="156">
        <v>0</v>
      </c>
      <c r="K4262" s="131">
        <f t="shared" si="251"/>
        <v>1913.22</v>
      </c>
      <c r="L4262" s="134">
        <v>0.1792</v>
      </c>
    </row>
    <row r="4263" spans="3:12">
      <c r="C4263" s="161">
        <f t="shared" si="249"/>
        <v>2019</v>
      </c>
      <c r="D4263" s="35" t="s">
        <v>323</v>
      </c>
      <c r="E4263" s="227">
        <v>43647</v>
      </c>
      <c r="F4263" s="156">
        <v>360785.1</v>
      </c>
      <c r="G4263" s="131">
        <f t="shared" si="250"/>
        <v>64652.689919999997</v>
      </c>
      <c r="H4263" s="156">
        <v>1620.22</v>
      </c>
      <c r="I4263" s="156">
        <v>0</v>
      </c>
      <c r="J4263" s="156">
        <v>0</v>
      </c>
      <c r="K4263" s="131">
        <f t="shared" si="251"/>
        <v>1620.22</v>
      </c>
      <c r="L4263" s="134">
        <v>0.1792</v>
      </c>
    </row>
    <row r="4264" spans="3:12">
      <c r="C4264" s="161">
        <f t="shared" si="249"/>
        <v>2019</v>
      </c>
      <c r="D4264" s="35" t="s">
        <v>323</v>
      </c>
      <c r="E4264" s="227">
        <v>43678</v>
      </c>
      <c r="F4264" s="156">
        <v>370907.17</v>
      </c>
      <c r="G4264" s="131">
        <f t="shared" si="250"/>
        <v>66466.564864</v>
      </c>
      <c r="H4264" s="156">
        <v>694.38</v>
      </c>
      <c r="I4264" s="156">
        <v>0</v>
      </c>
      <c r="J4264" s="156">
        <v>0</v>
      </c>
      <c r="K4264" s="131">
        <f t="shared" si="251"/>
        <v>694.38</v>
      </c>
      <c r="L4264" s="134">
        <v>0.1792</v>
      </c>
    </row>
    <row r="4265" spans="3:12">
      <c r="C4265" s="161">
        <f t="shared" si="249"/>
        <v>2019</v>
      </c>
      <c r="D4265" s="35" t="s">
        <v>323</v>
      </c>
      <c r="E4265" s="227">
        <v>43709</v>
      </c>
      <c r="F4265" s="156">
        <v>407627.66</v>
      </c>
      <c r="G4265" s="131">
        <f t="shared" si="250"/>
        <v>73046.876671999999</v>
      </c>
      <c r="H4265" s="156">
        <v>1406.96</v>
      </c>
      <c r="I4265" s="156">
        <v>0</v>
      </c>
      <c r="J4265" s="156">
        <v>0</v>
      </c>
      <c r="K4265" s="131">
        <f t="shared" si="251"/>
        <v>1406.96</v>
      </c>
      <c r="L4265" s="134">
        <v>0.1792</v>
      </c>
    </row>
    <row r="4266" spans="3:12">
      <c r="C4266" s="161">
        <f t="shared" si="249"/>
        <v>2019</v>
      </c>
      <c r="D4266" s="35" t="s">
        <v>323</v>
      </c>
      <c r="E4266" s="227">
        <v>43739</v>
      </c>
      <c r="F4266" s="156">
        <v>383588.15</v>
      </c>
      <c r="G4266" s="131">
        <f t="shared" si="250"/>
        <v>68738.996480000002</v>
      </c>
      <c r="H4266" s="156">
        <v>586.23</v>
      </c>
      <c r="I4266" s="156">
        <v>0</v>
      </c>
      <c r="J4266" s="156">
        <v>0</v>
      </c>
      <c r="K4266" s="131">
        <f t="shared" si="251"/>
        <v>586.23</v>
      </c>
      <c r="L4266" s="134">
        <v>0.1792</v>
      </c>
    </row>
    <row r="4267" spans="3:12">
      <c r="C4267" s="161">
        <f t="shared" si="249"/>
        <v>2019</v>
      </c>
      <c r="D4267" s="35" t="s">
        <v>323</v>
      </c>
      <c r="E4267" s="227">
        <v>43770</v>
      </c>
      <c r="F4267" s="156">
        <v>384918.62</v>
      </c>
      <c r="G4267" s="131">
        <f t="shared" si="250"/>
        <v>68977.416704000003</v>
      </c>
      <c r="H4267" s="156">
        <v>2363.8200000000002</v>
      </c>
      <c r="I4267" s="156">
        <v>0</v>
      </c>
      <c r="J4267" s="156">
        <v>0</v>
      </c>
      <c r="K4267" s="131">
        <f t="shared" si="251"/>
        <v>2363.8200000000002</v>
      </c>
      <c r="L4267" s="134">
        <v>0.1792</v>
      </c>
    </row>
    <row r="4268" spans="3:12">
      <c r="C4268" s="161">
        <f t="shared" si="249"/>
        <v>2019</v>
      </c>
      <c r="D4268" s="35" t="s">
        <v>323</v>
      </c>
      <c r="E4268" s="227">
        <v>43800</v>
      </c>
      <c r="F4268" s="156">
        <v>351050.97</v>
      </c>
      <c r="G4268" s="131">
        <f t="shared" si="250"/>
        <v>62908.333823999994</v>
      </c>
      <c r="H4268" s="156">
        <v>941.84</v>
      </c>
      <c r="I4268" s="156">
        <v>0</v>
      </c>
      <c r="J4268" s="156">
        <v>0</v>
      </c>
      <c r="K4268" s="131">
        <f t="shared" si="251"/>
        <v>941.84</v>
      </c>
      <c r="L4268" s="134">
        <v>0.1792</v>
      </c>
    </row>
    <row r="4269" spans="3:12">
      <c r="C4269" s="161">
        <f t="shared" si="249"/>
        <v>2020</v>
      </c>
      <c r="D4269" s="35" t="s">
        <v>323</v>
      </c>
      <c r="E4269" s="227">
        <v>43831</v>
      </c>
      <c r="F4269" s="156">
        <v>361828.25</v>
      </c>
      <c r="G4269" s="131">
        <f t="shared" si="250"/>
        <v>64839.6224</v>
      </c>
      <c r="H4269" s="156">
        <v>0</v>
      </c>
      <c r="I4269" s="156">
        <v>0</v>
      </c>
      <c r="J4269" s="156">
        <v>0</v>
      </c>
      <c r="K4269" s="131">
        <f t="shared" si="251"/>
        <v>0</v>
      </c>
      <c r="L4269" s="134">
        <v>0.1792</v>
      </c>
    </row>
    <row r="4270" spans="3:12">
      <c r="C4270" s="161">
        <f t="shared" si="249"/>
        <v>2020</v>
      </c>
      <c r="D4270" s="35" t="s">
        <v>323</v>
      </c>
      <c r="E4270" s="227">
        <v>43862</v>
      </c>
      <c r="F4270" s="156">
        <v>347498.36</v>
      </c>
      <c r="G4270" s="131">
        <f t="shared" si="250"/>
        <v>62271.706112</v>
      </c>
      <c r="H4270" s="156">
        <v>1613.23</v>
      </c>
      <c r="I4270" s="156">
        <v>0</v>
      </c>
      <c r="J4270" s="156">
        <v>0</v>
      </c>
      <c r="K4270" s="131">
        <f t="shared" si="251"/>
        <v>1613.23</v>
      </c>
      <c r="L4270" s="134">
        <v>0.1792</v>
      </c>
    </row>
    <row r="4271" spans="3:12">
      <c r="C4271" s="161">
        <f t="shared" si="249"/>
        <v>2020</v>
      </c>
      <c r="D4271" s="35" t="s">
        <v>323</v>
      </c>
      <c r="E4271" s="227">
        <v>43891</v>
      </c>
      <c r="F4271" s="156">
        <v>340310.8665</v>
      </c>
      <c r="G4271" s="131">
        <f t="shared" si="250"/>
        <v>60983.7072768</v>
      </c>
      <c r="H4271" s="156">
        <v>1035.99</v>
      </c>
      <c r="I4271" s="156">
        <v>0</v>
      </c>
      <c r="J4271" s="156">
        <v>0</v>
      </c>
      <c r="K4271" s="131">
        <f t="shared" si="251"/>
        <v>1035.99</v>
      </c>
      <c r="L4271" s="134">
        <v>0.1792</v>
      </c>
    </row>
    <row r="4272" spans="3:12">
      <c r="C4272" s="161">
        <f t="shared" si="249"/>
        <v>2020</v>
      </c>
      <c r="D4272" s="35" t="s">
        <v>323</v>
      </c>
      <c r="E4272" s="227">
        <v>43922</v>
      </c>
      <c r="F4272" s="156">
        <v>349974.95197499997</v>
      </c>
      <c r="G4272" s="131">
        <f t="shared" si="250"/>
        <v>62715.511393919995</v>
      </c>
      <c r="H4272" s="156">
        <v>731.28</v>
      </c>
      <c r="I4272" s="156">
        <v>0</v>
      </c>
      <c r="J4272" s="156">
        <v>0</v>
      </c>
      <c r="K4272" s="131">
        <f t="shared" si="251"/>
        <v>731.28</v>
      </c>
      <c r="L4272" s="134">
        <v>0.1792</v>
      </c>
    </row>
    <row r="4273" spans="3:12">
      <c r="C4273" s="161">
        <f t="shared" si="249"/>
        <v>2020</v>
      </c>
      <c r="D4273" s="35" t="s">
        <v>323</v>
      </c>
      <c r="E4273" s="227">
        <v>43952</v>
      </c>
      <c r="F4273" s="156">
        <v>353246.86</v>
      </c>
      <c r="G4273" s="131">
        <f t="shared" si="250"/>
        <v>63301.837311999996</v>
      </c>
      <c r="H4273" s="156">
        <v>1160.22</v>
      </c>
      <c r="I4273" s="156">
        <v>0</v>
      </c>
      <c r="J4273" s="156">
        <v>0</v>
      </c>
      <c r="K4273" s="131">
        <f t="shared" si="251"/>
        <v>1160.22</v>
      </c>
      <c r="L4273" s="134">
        <v>0.1792</v>
      </c>
    </row>
    <row r="4274" spans="3:12">
      <c r="C4274" s="161">
        <f t="shared" si="249"/>
        <v>2020</v>
      </c>
      <c r="D4274" s="35" t="s">
        <v>323</v>
      </c>
      <c r="E4274" s="227">
        <v>43983</v>
      </c>
      <c r="F4274" s="156">
        <v>348031.23</v>
      </c>
      <c r="G4274" s="131">
        <f t="shared" si="250"/>
        <v>62367.196415999999</v>
      </c>
      <c r="H4274" s="156">
        <v>1345.07</v>
      </c>
      <c r="I4274" s="156">
        <v>0</v>
      </c>
      <c r="J4274" s="156">
        <v>0</v>
      </c>
      <c r="K4274" s="131">
        <f t="shared" si="251"/>
        <v>1345.07</v>
      </c>
      <c r="L4274" s="134">
        <v>0.1792</v>
      </c>
    </row>
    <row r="4275" spans="3:12">
      <c r="C4275" s="161">
        <f t="shared" si="249"/>
        <v>2020</v>
      </c>
      <c r="D4275" s="35" t="s">
        <v>323</v>
      </c>
      <c r="E4275" s="227">
        <v>44013</v>
      </c>
      <c r="F4275" s="156">
        <v>379100.76</v>
      </c>
      <c r="G4275" s="131">
        <f t="shared" si="250"/>
        <v>67934.856192000007</v>
      </c>
      <c r="H4275" s="156">
        <v>1750.47</v>
      </c>
      <c r="I4275" s="156">
        <v>0</v>
      </c>
      <c r="J4275" s="156">
        <v>0</v>
      </c>
      <c r="K4275" s="131">
        <f t="shared" si="251"/>
        <v>1750.47</v>
      </c>
      <c r="L4275" s="134">
        <v>0.1792</v>
      </c>
    </row>
    <row r="4276" spans="3:12">
      <c r="C4276" s="161">
        <f t="shared" si="249"/>
        <v>2020</v>
      </c>
      <c r="D4276" s="35" t="s">
        <v>323</v>
      </c>
      <c r="E4276" s="227">
        <v>44044</v>
      </c>
      <c r="F4276" s="156">
        <v>420717.14</v>
      </c>
      <c r="G4276" s="131">
        <f t="shared" si="250"/>
        <v>75392.511488000004</v>
      </c>
      <c r="H4276" s="156">
        <v>1187.58</v>
      </c>
      <c r="I4276" s="156">
        <v>0</v>
      </c>
      <c r="J4276" s="156">
        <v>0</v>
      </c>
      <c r="K4276" s="131">
        <f t="shared" si="251"/>
        <v>1187.58</v>
      </c>
      <c r="L4276" s="134">
        <v>0.1792</v>
      </c>
    </row>
    <row r="4277" spans="3:12">
      <c r="C4277" s="161">
        <f t="shared" si="249"/>
        <v>2020</v>
      </c>
      <c r="D4277" s="35" t="s">
        <v>323</v>
      </c>
      <c r="E4277" s="227">
        <v>44075</v>
      </c>
      <c r="F4277" s="156">
        <v>457108.42</v>
      </c>
      <c r="G4277" s="131">
        <f t="shared" si="250"/>
        <v>81913.828863999996</v>
      </c>
      <c r="H4277" s="156">
        <v>0</v>
      </c>
      <c r="I4277" s="156">
        <v>0</v>
      </c>
      <c r="J4277" s="156">
        <v>0</v>
      </c>
      <c r="K4277" s="131">
        <f t="shared" si="251"/>
        <v>0</v>
      </c>
      <c r="L4277" s="134">
        <v>0.1792</v>
      </c>
    </row>
    <row r="4278" spans="3:12">
      <c r="C4278" s="161">
        <f t="shared" si="249"/>
        <v>2020</v>
      </c>
      <c r="D4278" s="35" t="s">
        <v>323</v>
      </c>
      <c r="E4278" s="227">
        <v>44105</v>
      </c>
      <c r="F4278" s="156">
        <v>458567.58</v>
      </c>
      <c r="G4278" s="131">
        <f t="shared" si="250"/>
        <v>82175.310335999995</v>
      </c>
      <c r="H4278" s="156">
        <v>11958.42</v>
      </c>
      <c r="I4278" s="156">
        <v>0</v>
      </c>
      <c r="J4278" s="156">
        <v>0</v>
      </c>
      <c r="K4278" s="131">
        <f t="shared" si="251"/>
        <v>11958.42</v>
      </c>
      <c r="L4278" s="134">
        <v>0.1792</v>
      </c>
    </row>
    <row r="4279" spans="3:12">
      <c r="C4279" s="161">
        <f t="shared" si="249"/>
        <v>2020</v>
      </c>
      <c r="D4279" s="35" t="s">
        <v>323</v>
      </c>
      <c r="E4279" s="227">
        <v>44136</v>
      </c>
      <c r="F4279" s="156">
        <v>402724.2</v>
      </c>
      <c r="G4279" s="131">
        <f t="shared" si="250"/>
        <v>72168.176640000005</v>
      </c>
      <c r="H4279" s="156">
        <v>898.19</v>
      </c>
      <c r="I4279" s="156">
        <v>0</v>
      </c>
      <c r="J4279" s="156">
        <v>0</v>
      </c>
      <c r="K4279" s="131">
        <f t="shared" si="251"/>
        <v>898.19</v>
      </c>
      <c r="L4279" s="134">
        <v>0.1792</v>
      </c>
    </row>
    <row r="4280" spans="3:12">
      <c r="C4280" s="161">
        <f t="shared" si="249"/>
        <v>2020</v>
      </c>
      <c r="D4280" s="35" t="s">
        <v>323</v>
      </c>
      <c r="E4280" s="227">
        <v>44166</v>
      </c>
      <c r="F4280" s="156">
        <v>397014.95</v>
      </c>
      <c r="G4280" s="131">
        <f t="shared" si="250"/>
        <v>71145.079039999997</v>
      </c>
      <c r="H4280" s="156">
        <v>528.34</v>
      </c>
      <c r="I4280" s="156">
        <v>0</v>
      </c>
      <c r="J4280" s="156">
        <v>0</v>
      </c>
      <c r="K4280" s="131">
        <f t="shared" si="251"/>
        <v>528.34</v>
      </c>
      <c r="L4280" s="134">
        <v>0.1792</v>
      </c>
    </row>
    <row r="4281" spans="3:12">
      <c r="C4281" s="161">
        <f t="shared" si="249"/>
        <v>2021</v>
      </c>
      <c r="D4281" s="35" t="s">
        <v>323</v>
      </c>
      <c r="E4281" s="227">
        <v>44197</v>
      </c>
      <c r="F4281" s="156">
        <v>396505.33</v>
      </c>
      <c r="G4281" s="131">
        <f t="shared" si="250"/>
        <v>71053.755136000007</v>
      </c>
      <c r="H4281" s="156">
        <v>1260.2</v>
      </c>
      <c r="I4281" s="156">
        <v>0</v>
      </c>
      <c r="J4281" s="156">
        <v>0</v>
      </c>
      <c r="K4281" s="131">
        <f t="shared" si="251"/>
        <v>1260.2</v>
      </c>
      <c r="L4281" s="134">
        <v>0.1792</v>
      </c>
    </row>
    <row r="4282" spans="3:12">
      <c r="C4282" s="161">
        <f t="shared" si="249"/>
        <v>2021</v>
      </c>
      <c r="D4282" s="35" t="s">
        <v>323</v>
      </c>
      <c r="E4282" s="227">
        <v>44229</v>
      </c>
      <c r="F4282" s="156">
        <v>381957.94</v>
      </c>
      <c r="G4282" s="131">
        <f t="shared" si="250"/>
        <v>68446.862848000004</v>
      </c>
      <c r="H4282" s="156">
        <v>0</v>
      </c>
      <c r="I4282" s="156">
        <v>0</v>
      </c>
      <c r="J4282" s="156">
        <v>0</v>
      </c>
      <c r="K4282" s="131">
        <f t="shared" si="251"/>
        <v>0</v>
      </c>
      <c r="L4282" s="134">
        <v>0.1792</v>
      </c>
    </row>
    <row r="4283" spans="3:12">
      <c r="C4283" s="161">
        <f t="shared" si="249"/>
        <v>2021</v>
      </c>
      <c r="D4283" s="35" t="s">
        <v>323</v>
      </c>
      <c r="E4283" s="227">
        <v>44258</v>
      </c>
      <c r="F4283" s="156">
        <v>339008.25</v>
      </c>
      <c r="G4283" s="131">
        <f t="shared" si="250"/>
        <v>60750.278400000003</v>
      </c>
      <c r="H4283" s="156">
        <v>1513.79</v>
      </c>
      <c r="I4283" s="156">
        <v>0</v>
      </c>
      <c r="J4283" s="156">
        <v>0</v>
      </c>
      <c r="K4283" s="131">
        <f t="shared" si="251"/>
        <v>1513.79</v>
      </c>
      <c r="L4283" s="134">
        <v>0.1792</v>
      </c>
    </row>
    <row r="4284" spans="3:12">
      <c r="C4284" s="161">
        <f t="shared" si="249"/>
        <v>2021</v>
      </c>
      <c r="D4284" s="35" t="s">
        <v>323</v>
      </c>
      <c r="E4284" s="227">
        <v>44290</v>
      </c>
      <c r="F4284" s="156">
        <v>384994.84</v>
      </c>
      <c r="G4284" s="131">
        <f t="shared" si="250"/>
        <v>68991.075328000006</v>
      </c>
      <c r="H4284" s="156">
        <v>1763.49</v>
      </c>
      <c r="I4284" s="156">
        <v>0</v>
      </c>
      <c r="J4284" s="156">
        <v>0</v>
      </c>
      <c r="K4284" s="131">
        <f t="shared" si="251"/>
        <v>1763.49</v>
      </c>
      <c r="L4284" s="134">
        <v>0.1792</v>
      </c>
    </row>
    <row r="4285" spans="3:12">
      <c r="C4285" s="161">
        <f t="shared" si="249"/>
        <v>2021</v>
      </c>
      <c r="D4285" s="35" t="s">
        <v>323</v>
      </c>
      <c r="E4285" s="227">
        <v>44321</v>
      </c>
      <c r="F4285" s="156">
        <v>377791.64</v>
      </c>
      <c r="G4285" s="131">
        <f t="shared" si="250"/>
        <v>67700.261888000008</v>
      </c>
      <c r="H4285" s="156">
        <v>5448.67</v>
      </c>
      <c r="I4285" s="156">
        <v>0</v>
      </c>
      <c r="J4285" s="156">
        <v>0</v>
      </c>
      <c r="K4285" s="131">
        <f t="shared" si="251"/>
        <v>5448.67</v>
      </c>
      <c r="L4285" s="134">
        <v>0.1792</v>
      </c>
    </row>
    <row r="4286" spans="3:12">
      <c r="C4286" s="161">
        <f t="shared" si="249"/>
        <v>2021</v>
      </c>
      <c r="D4286" s="35" t="s">
        <v>323</v>
      </c>
      <c r="E4286" s="227">
        <v>44353</v>
      </c>
      <c r="F4286" s="156">
        <v>381241.74</v>
      </c>
      <c r="G4286" s="131">
        <f t="shared" si="250"/>
        <v>68318.519807999997</v>
      </c>
      <c r="H4286" s="156">
        <v>726.49</v>
      </c>
      <c r="I4286" s="156">
        <v>0</v>
      </c>
      <c r="J4286" s="156">
        <v>0</v>
      </c>
      <c r="K4286" s="131">
        <f t="shared" si="251"/>
        <v>726.49</v>
      </c>
      <c r="L4286" s="134">
        <v>0.1792</v>
      </c>
    </row>
    <row r="4287" spans="3:12">
      <c r="C4287" s="161">
        <f t="shared" si="249"/>
        <v>2015</v>
      </c>
      <c r="D4287" s="35" t="s">
        <v>324</v>
      </c>
      <c r="E4287" s="227">
        <v>42309</v>
      </c>
      <c r="F4287" s="156">
        <v>105446.12</v>
      </c>
      <c r="G4287" s="131">
        <f t="shared" si="250"/>
        <v>18895.944703999998</v>
      </c>
      <c r="H4287" s="156">
        <v>615.07000000000005</v>
      </c>
      <c r="I4287" s="156">
        <v>3012.2</v>
      </c>
      <c r="J4287" s="156">
        <v>0</v>
      </c>
      <c r="K4287" s="131">
        <f t="shared" si="251"/>
        <v>3627.27</v>
      </c>
      <c r="L4287" s="134">
        <v>0.1792</v>
      </c>
    </row>
    <row r="4288" spans="3:12">
      <c r="C4288" s="161">
        <f t="shared" si="249"/>
        <v>2015</v>
      </c>
      <c r="D4288" s="35" t="s">
        <v>324</v>
      </c>
      <c r="E4288" s="227">
        <v>42339</v>
      </c>
      <c r="F4288" s="156">
        <v>97549.73</v>
      </c>
      <c r="G4288" s="131">
        <f t="shared" si="250"/>
        <v>17480.911615999998</v>
      </c>
      <c r="H4288" s="156">
        <v>192.54</v>
      </c>
      <c r="I4288" s="156">
        <v>56799.24</v>
      </c>
      <c r="J4288" s="156">
        <v>0</v>
      </c>
      <c r="K4288" s="131">
        <f t="shared" si="251"/>
        <v>56991.78</v>
      </c>
      <c r="L4288" s="134">
        <v>0.1792</v>
      </c>
    </row>
    <row r="4289" spans="3:12">
      <c r="C4289" s="161">
        <f t="shared" si="249"/>
        <v>2016</v>
      </c>
      <c r="D4289" s="35" t="s">
        <v>324</v>
      </c>
      <c r="E4289" s="227">
        <v>42370</v>
      </c>
      <c r="F4289" s="156">
        <v>100292.68</v>
      </c>
      <c r="G4289" s="131">
        <f t="shared" si="250"/>
        <v>17972.448256</v>
      </c>
      <c r="H4289" s="156">
        <v>80.41</v>
      </c>
      <c r="I4289" s="156">
        <v>312.10000000000002</v>
      </c>
      <c r="J4289" s="156">
        <v>0</v>
      </c>
      <c r="K4289" s="131">
        <f t="shared" si="251"/>
        <v>392.51</v>
      </c>
      <c r="L4289" s="134">
        <v>0.1792</v>
      </c>
    </row>
    <row r="4290" spans="3:12">
      <c r="C4290" s="161">
        <f t="shared" si="249"/>
        <v>2016</v>
      </c>
      <c r="D4290" s="35" t="s">
        <v>324</v>
      </c>
      <c r="E4290" s="227">
        <v>42401</v>
      </c>
      <c r="F4290" s="156">
        <v>108931.39</v>
      </c>
      <c r="G4290" s="131">
        <f t="shared" si="250"/>
        <v>19520.505087999998</v>
      </c>
      <c r="H4290" s="156">
        <v>719.33</v>
      </c>
      <c r="I4290" s="156">
        <v>80.28</v>
      </c>
      <c r="J4290" s="156">
        <v>0</v>
      </c>
      <c r="K4290" s="131">
        <f t="shared" si="251"/>
        <v>799.61</v>
      </c>
      <c r="L4290" s="134">
        <v>0.1792</v>
      </c>
    </row>
    <row r="4291" spans="3:12">
      <c r="C4291" s="161">
        <f t="shared" si="249"/>
        <v>2016</v>
      </c>
      <c r="D4291" s="35" t="s">
        <v>324</v>
      </c>
      <c r="E4291" s="227">
        <v>42430</v>
      </c>
      <c r="F4291" s="156">
        <v>97821.19</v>
      </c>
      <c r="G4291" s="131">
        <f t="shared" si="250"/>
        <v>17529.557248000001</v>
      </c>
      <c r="H4291" s="156">
        <v>444.79</v>
      </c>
      <c r="I4291" s="156">
        <v>145431.21</v>
      </c>
      <c r="J4291" s="156">
        <v>0</v>
      </c>
      <c r="K4291" s="131">
        <f t="shared" si="251"/>
        <v>145876</v>
      </c>
      <c r="L4291" s="134">
        <v>0.1792</v>
      </c>
    </row>
    <row r="4292" spans="3:12">
      <c r="C4292" s="161">
        <f t="shared" ref="C4292:C4355" si="252">YEAR(E4292)</f>
        <v>2016</v>
      </c>
      <c r="D4292" s="35" t="s">
        <v>324</v>
      </c>
      <c r="E4292" s="227">
        <v>42461</v>
      </c>
      <c r="F4292" s="156">
        <v>105228.09</v>
      </c>
      <c r="G4292" s="131">
        <f t="shared" ref="G4292:G4355" si="253">F4292*L4292</f>
        <v>18856.873727999999</v>
      </c>
      <c r="H4292" s="156">
        <v>2194.77</v>
      </c>
      <c r="I4292" s="156">
        <v>0</v>
      </c>
      <c r="J4292" s="156">
        <v>0</v>
      </c>
      <c r="K4292" s="131">
        <f t="shared" ref="K4292:K4355" si="254">SUM(H4292:J4292)</f>
        <v>2194.77</v>
      </c>
      <c r="L4292" s="134">
        <v>0.1792</v>
      </c>
    </row>
    <row r="4293" spans="3:12">
      <c r="C4293" s="161">
        <f t="shared" si="252"/>
        <v>2016</v>
      </c>
      <c r="D4293" s="35" t="s">
        <v>324</v>
      </c>
      <c r="E4293" s="227">
        <v>42491</v>
      </c>
      <c r="F4293" s="156">
        <v>98445.52</v>
      </c>
      <c r="G4293" s="131">
        <f t="shared" si="253"/>
        <v>17641.437184000002</v>
      </c>
      <c r="H4293" s="156">
        <v>661.56</v>
      </c>
      <c r="I4293" s="156">
        <v>0</v>
      </c>
      <c r="J4293" s="156">
        <v>0</v>
      </c>
      <c r="K4293" s="131">
        <f t="shared" si="254"/>
        <v>661.56</v>
      </c>
      <c r="L4293" s="134">
        <v>0.1792</v>
      </c>
    </row>
    <row r="4294" spans="3:12">
      <c r="C4294" s="161">
        <f t="shared" si="252"/>
        <v>2016</v>
      </c>
      <c r="D4294" s="35" t="s">
        <v>324</v>
      </c>
      <c r="E4294" s="227">
        <v>42522</v>
      </c>
      <c r="F4294" s="156">
        <v>95949.68</v>
      </c>
      <c r="G4294" s="131">
        <f t="shared" si="253"/>
        <v>17194.182655999997</v>
      </c>
      <c r="H4294" s="156">
        <v>177.16</v>
      </c>
      <c r="I4294" s="156">
        <v>0</v>
      </c>
      <c r="J4294" s="156">
        <v>0</v>
      </c>
      <c r="K4294" s="131">
        <f t="shared" si="254"/>
        <v>177.16</v>
      </c>
      <c r="L4294" s="134">
        <v>0.1792</v>
      </c>
    </row>
    <row r="4295" spans="3:12">
      <c r="C4295" s="161">
        <f t="shared" si="252"/>
        <v>2016</v>
      </c>
      <c r="D4295" s="35" t="s">
        <v>324</v>
      </c>
      <c r="E4295" s="227">
        <v>42552</v>
      </c>
      <c r="F4295" s="156">
        <v>101813.86</v>
      </c>
      <c r="G4295" s="131">
        <f t="shared" si="253"/>
        <v>18245.043711999999</v>
      </c>
      <c r="H4295" s="156">
        <v>2660.64</v>
      </c>
      <c r="I4295" s="156">
        <v>13641.65</v>
      </c>
      <c r="J4295" s="156">
        <v>3980</v>
      </c>
      <c r="K4295" s="131">
        <f t="shared" si="254"/>
        <v>20282.29</v>
      </c>
      <c r="L4295" s="134">
        <v>0.1792</v>
      </c>
    </row>
    <row r="4296" spans="3:12">
      <c r="C4296" s="161">
        <f t="shared" si="252"/>
        <v>2016</v>
      </c>
      <c r="D4296" s="35" t="s">
        <v>324</v>
      </c>
      <c r="E4296" s="227">
        <v>42583</v>
      </c>
      <c r="F4296" s="156">
        <v>110206.02</v>
      </c>
      <c r="G4296" s="131">
        <f t="shared" si="253"/>
        <v>19748.918784000001</v>
      </c>
      <c r="H4296" s="156">
        <v>707.66</v>
      </c>
      <c r="I4296" s="156">
        <v>77.91</v>
      </c>
      <c r="J4296" s="156">
        <v>0</v>
      </c>
      <c r="K4296" s="131">
        <f t="shared" si="254"/>
        <v>785.56999999999994</v>
      </c>
      <c r="L4296" s="134">
        <v>0.1792</v>
      </c>
    </row>
    <row r="4297" spans="3:12">
      <c r="C4297" s="161">
        <f t="shared" si="252"/>
        <v>2016</v>
      </c>
      <c r="D4297" s="35" t="s">
        <v>324</v>
      </c>
      <c r="E4297" s="227">
        <v>42614</v>
      </c>
      <c r="F4297" s="156">
        <v>108130.53</v>
      </c>
      <c r="G4297" s="131">
        <f t="shared" si="253"/>
        <v>19376.990976000001</v>
      </c>
      <c r="H4297" s="156">
        <v>600.03</v>
      </c>
      <c r="I4297" s="156">
        <v>117.31</v>
      </c>
      <c r="J4297" s="156">
        <v>0</v>
      </c>
      <c r="K4297" s="131">
        <f t="shared" si="254"/>
        <v>717.33999999999992</v>
      </c>
      <c r="L4297" s="134">
        <v>0.1792</v>
      </c>
    </row>
    <row r="4298" spans="3:12">
      <c r="C4298" s="161">
        <f t="shared" si="252"/>
        <v>2016</v>
      </c>
      <c r="D4298" s="35" t="s">
        <v>324</v>
      </c>
      <c r="E4298" s="227">
        <v>42644</v>
      </c>
      <c r="F4298" s="156">
        <v>115761.97</v>
      </c>
      <c r="G4298" s="131">
        <f t="shared" si="253"/>
        <v>20744.545023999999</v>
      </c>
      <c r="H4298" s="156">
        <v>418.55</v>
      </c>
      <c r="I4298" s="156">
        <v>0</v>
      </c>
      <c r="J4298" s="156">
        <v>1974.66</v>
      </c>
      <c r="K4298" s="131">
        <f t="shared" si="254"/>
        <v>2393.21</v>
      </c>
      <c r="L4298" s="134">
        <v>0.1792</v>
      </c>
    </row>
    <row r="4299" spans="3:12">
      <c r="C4299" s="161">
        <f t="shared" si="252"/>
        <v>2016</v>
      </c>
      <c r="D4299" s="35" t="s">
        <v>324</v>
      </c>
      <c r="E4299" s="227">
        <v>42675</v>
      </c>
      <c r="F4299" s="156">
        <v>120586.91</v>
      </c>
      <c r="G4299" s="131">
        <f t="shared" si="253"/>
        <v>21609.174272</v>
      </c>
      <c r="H4299" s="156">
        <v>114.93</v>
      </c>
      <c r="I4299" s="156">
        <v>0</v>
      </c>
      <c r="J4299" s="156">
        <v>0</v>
      </c>
      <c r="K4299" s="131">
        <f t="shared" si="254"/>
        <v>114.93</v>
      </c>
      <c r="L4299" s="134">
        <v>0.1792</v>
      </c>
    </row>
    <row r="4300" spans="3:12">
      <c r="C4300" s="161">
        <f t="shared" si="252"/>
        <v>2016</v>
      </c>
      <c r="D4300" s="35" t="s">
        <v>324</v>
      </c>
      <c r="E4300" s="227">
        <v>42705</v>
      </c>
      <c r="F4300" s="156">
        <v>113730.38</v>
      </c>
      <c r="G4300" s="131">
        <f t="shared" si="253"/>
        <v>20380.484096</v>
      </c>
      <c r="H4300" s="156">
        <v>336.93</v>
      </c>
      <c r="I4300" s="156">
        <v>0</v>
      </c>
      <c r="J4300" s="156">
        <v>0</v>
      </c>
      <c r="K4300" s="131">
        <f t="shared" si="254"/>
        <v>336.93</v>
      </c>
      <c r="L4300" s="134">
        <v>0.1792</v>
      </c>
    </row>
    <row r="4301" spans="3:12">
      <c r="C4301" s="161">
        <f t="shared" si="252"/>
        <v>2017</v>
      </c>
      <c r="D4301" s="35" t="s">
        <v>324</v>
      </c>
      <c r="E4301" s="227">
        <v>42736</v>
      </c>
      <c r="F4301" s="156">
        <v>132246.13</v>
      </c>
      <c r="G4301" s="131">
        <f t="shared" si="253"/>
        <v>23698.506496000002</v>
      </c>
      <c r="H4301" s="156">
        <v>113.6</v>
      </c>
      <c r="I4301" s="156">
        <v>0</v>
      </c>
      <c r="J4301" s="156">
        <v>0</v>
      </c>
      <c r="K4301" s="131">
        <f t="shared" si="254"/>
        <v>113.6</v>
      </c>
      <c r="L4301" s="134">
        <v>0.1792</v>
      </c>
    </row>
    <row r="4302" spans="3:12">
      <c r="C4302" s="161">
        <f t="shared" si="252"/>
        <v>2017</v>
      </c>
      <c r="D4302" s="35" t="s">
        <v>324</v>
      </c>
      <c r="E4302" s="227">
        <v>42767</v>
      </c>
      <c r="F4302" s="156">
        <v>122747.51</v>
      </c>
      <c r="G4302" s="131">
        <f t="shared" si="253"/>
        <v>21996.353791999998</v>
      </c>
      <c r="H4302" s="156">
        <v>1374.17</v>
      </c>
      <c r="I4302" s="156">
        <v>41.86</v>
      </c>
      <c r="J4302" s="156">
        <v>0</v>
      </c>
      <c r="K4302" s="131">
        <f t="shared" si="254"/>
        <v>1416.03</v>
      </c>
      <c r="L4302" s="134">
        <v>0.1792</v>
      </c>
    </row>
    <row r="4303" spans="3:12">
      <c r="C4303" s="161">
        <f t="shared" si="252"/>
        <v>2017</v>
      </c>
      <c r="D4303" s="35" t="s">
        <v>324</v>
      </c>
      <c r="E4303" s="227">
        <v>42795</v>
      </c>
      <c r="F4303" s="156">
        <v>111067.98</v>
      </c>
      <c r="G4303" s="131">
        <f t="shared" si="253"/>
        <v>19903.382016</v>
      </c>
      <c r="H4303" s="156">
        <v>421.18</v>
      </c>
      <c r="I4303" s="156">
        <v>0</v>
      </c>
      <c r="J4303" s="156">
        <v>266</v>
      </c>
      <c r="K4303" s="131">
        <f t="shared" si="254"/>
        <v>687.18000000000006</v>
      </c>
      <c r="L4303" s="134">
        <v>0.1792</v>
      </c>
    </row>
    <row r="4304" spans="3:12">
      <c r="C4304" s="161">
        <f t="shared" si="252"/>
        <v>2017</v>
      </c>
      <c r="D4304" s="35" t="s">
        <v>324</v>
      </c>
      <c r="E4304" s="227">
        <v>42826</v>
      </c>
      <c r="F4304" s="156">
        <v>120125.16</v>
      </c>
      <c r="G4304" s="131">
        <f t="shared" si="253"/>
        <v>21526.428672000002</v>
      </c>
      <c r="H4304" s="156">
        <v>241.23</v>
      </c>
      <c r="I4304" s="156">
        <v>0</v>
      </c>
      <c r="J4304" s="156">
        <v>0</v>
      </c>
      <c r="K4304" s="131">
        <f t="shared" si="254"/>
        <v>241.23</v>
      </c>
      <c r="L4304" s="134">
        <v>0.1792</v>
      </c>
    </row>
    <row r="4305" spans="3:12">
      <c r="C4305" s="161">
        <f t="shared" si="252"/>
        <v>2017</v>
      </c>
      <c r="D4305" s="35" t="s">
        <v>324</v>
      </c>
      <c r="E4305" s="227">
        <v>42856</v>
      </c>
      <c r="F4305" s="156">
        <v>104509.69</v>
      </c>
      <c r="G4305" s="131">
        <f t="shared" si="253"/>
        <v>18728.136448000001</v>
      </c>
      <c r="H4305" s="156">
        <v>203.83</v>
      </c>
      <c r="I4305" s="156">
        <v>0</v>
      </c>
      <c r="J4305" s="156">
        <v>0</v>
      </c>
      <c r="K4305" s="131">
        <f t="shared" si="254"/>
        <v>203.83</v>
      </c>
      <c r="L4305" s="134">
        <v>0.1792</v>
      </c>
    </row>
    <row r="4306" spans="3:12">
      <c r="C4306" s="161">
        <f t="shared" si="252"/>
        <v>2017</v>
      </c>
      <c r="D4306" s="35" t="s">
        <v>324</v>
      </c>
      <c r="E4306" s="227">
        <v>42887</v>
      </c>
      <c r="F4306" s="156">
        <v>105143.08</v>
      </c>
      <c r="G4306" s="131">
        <f t="shared" si="253"/>
        <v>18841.639936</v>
      </c>
      <c r="H4306" s="156">
        <v>210.99</v>
      </c>
      <c r="I4306" s="156">
        <v>78.62</v>
      </c>
      <c r="J4306" s="156">
        <v>0</v>
      </c>
      <c r="K4306" s="131">
        <f t="shared" si="254"/>
        <v>289.61</v>
      </c>
      <c r="L4306" s="134">
        <v>0.1792</v>
      </c>
    </row>
    <row r="4307" spans="3:12">
      <c r="C4307" s="161">
        <f t="shared" si="252"/>
        <v>2017</v>
      </c>
      <c r="D4307" s="35" t="s">
        <v>324</v>
      </c>
      <c r="E4307" s="227">
        <v>42917</v>
      </c>
      <c r="F4307" s="156">
        <v>113089.69</v>
      </c>
      <c r="G4307" s="131">
        <f t="shared" si="253"/>
        <v>20265.672448000001</v>
      </c>
      <c r="H4307" s="156">
        <v>621.29</v>
      </c>
      <c r="I4307" s="156">
        <v>175.7</v>
      </c>
      <c r="J4307" s="156">
        <v>8017.93</v>
      </c>
      <c r="K4307" s="131">
        <f t="shared" si="254"/>
        <v>8814.92</v>
      </c>
      <c r="L4307" s="134">
        <v>0.1792</v>
      </c>
    </row>
    <row r="4308" spans="3:12">
      <c r="C4308" s="161">
        <f t="shared" si="252"/>
        <v>2017</v>
      </c>
      <c r="D4308" s="35" t="s">
        <v>324</v>
      </c>
      <c r="E4308" s="227">
        <v>42948</v>
      </c>
      <c r="F4308" s="156">
        <v>118291.06</v>
      </c>
      <c r="G4308" s="131">
        <f t="shared" si="253"/>
        <v>21197.757952</v>
      </c>
      <c r="H4308" s="156">
        <v>46.41</v>
      </c>
      <c r="I4308" s="156">
        <v>0</v>
      </c>
      <c r="J4308" s="156">
        <v>0</v>
      </c>
      <c r="K4308" s="131">
        <f t="shared" si="254"/>
        <v>46.41</v>
      </c>
      <c r="L4308" s="134">
        <v>0.1792</v>
      </c>
    </row>
    <row r="4309" spans="3:12">
      <c r="C4309" s="161">
        <f t="shared" si="252"/>
        <v>2017</v>
      </c>
      <c r="D4309" s="35" t="s">
        <v>324</v>
      </c>
      <c r="E4309" s="227">
        <v>42979</v>
      </c>
      <c r="F4309" s="156">
        <v>126799.78</v>
      </c>
      <c r="G4309" s="131">
        <f t="shared" si="253"/>
        <v>22722.520575999999</v>
      </c>
      <c r="H4309" s="156">
        <v>479.36</v>
      </c>
      <c r="I4309" s="156">
        <v>0</v>
      </c>
      <c r="J4309" s="156">
        <v>0</v>
      </c>
      <c r="K4309" s="131">
        <f t="shared" si="254"/>
        <v>479.36</v>
      </c>
      <c r="L4309" s="134">
        <v>0.1792</v>
      </c>
    </row>
    <row r="4310" spans="3:12">
      <c r="C4310" s="161">
        <f t="shared" si="252"/>
        <v>2017</v>
      </c>
      <c r="D4310" s="35" t="s">
        <v>324</v>
      </c>
      <c r="E4310" s="227">
        <v>43009</v>
      </c>
      <c r="F4310" s="156">
        <v>127585.87</v>
      </c>
      <c r="G4310" s="131">
        <f t="shared" si="253"/>
        <v>22863.387903999999</v>
      </c>
      <c r="H4310" s="156">
        <v>704.32</v>
      </c>
      <c r="I4310" s="156">
        <v>266.45999999999998</v>
      </c>
      <c r="J4310" s="156">
        <v>0</v>
      </c>
      <c r="K4310" s="131">
        <f t="shared" si="254"/>
        <v>970.78</v>
      </c>
      <c r="L4310" s="134">
        <v>0.1792</v>
      </c>
    </row>
    <row r="4311" spans="3:12">
      <c r="C4311" s="161">
        <f t="shared" si="252"/>
        <v>2017</v>
      </c>
      <c r="D4311" s="35" t="s">
        <v>324</v>
      </c>
      <c r="E4311" s="227">
        <v>43040</v>
      </c>
      <c r="F4311" s="156">
        <v>113099.61</v>
      </c>
      <c r="G4311" s="131">
        <f t="shared" si="253"/>
        <v>20267.450111999999</v>
      </c>
      <c r="H4311" s="156">
        <v>53.4</v>
      </c>
      <c r="I4311" s="156">
        <v>0</v>
      </c>
      <c r="J4311" s="156">
        <v>0</v>
      </c>
      <c r="K4311" s="131">
        <f t="shared" si="254"/>
        <v>53.4</v>
      </c>
      <c r="L4311" s="134">
        <v>0.1792</v>
      </c>
    </row>
    <row r="4312" spans="3:12">
      <c r="C4312" s="161">
        <f t="shared" si="252"/>
        <v>2017</v>
      </c>
      <c r="D4312" s="35" t="s">
        <v>324</v>
      </c>
      <c r="E4312" s="227">
        <v>43070</v>
      </c>
      <c r="F4312" s="156">
        <v>131462.17000000001</v>
      </c>
      <c r="G4312" s="131">
        <f t="shared" si="253"/>
        <v>23558.020864000002</v>
      </c>
      <c r="H4312" s="156">
        <v>138.11000000000001</v>
      </c>
      <c r="I4312" s="156">
        <v>176.07</v>
      </c>
      <c r="J4312" s="156">
        <v>0</v>
      </c>
      <c r="K4312" s="131">
        <f t="shared" si="254"/>
        <v>314.18</v>
      </c>
      <c r="L4312" s="134">
        <v>0.1792</v>
      </c>
    </row>
    <row r="4313" spans="3:12">
      <c r="C4313" s="161">
        <f t="shared" si="252"/>
        <v>2018</v>
      </c>
      <c r="D4313" s="35" t="s">
        <v>324</v>
      </c>
      <c r="E4313" s="227">
        <v>43101</v>
      </c>
      <c r="F4313" s="156">
        <v>122583.06</v>
      </c>
      <c r="G4313" s="131">
        <f t="shared" si="253"/>
        <v>21966.884352000001</v>
      </c>
      <c r="H4313" s="156">
        <v>150.30000000000001</v>
      </c>
      <c r="I4313" s="156">
        <v>206.14</v>
      </c>
      <c r="J4313" s="156">
        <v>0</v>
      </c>
      <c r="K4313" s="131">
        <f t="shared" si="254"/>
        <v>356.44</v>
      </c>
      <c r="L4313" s="134">
        <v>0.1792</v>
      </c>
    </row>
    <row r="4314" spans="3:12">
      <c r="C4314" s="161">
        <f t="shared" si="252"/>
        <v>2018</v>
      </c>
      <c r="D4314" s="35" t="s">
        <v>324</v>
      </c>
      <c r="E4314" s="227">
        <v>43132</v>
      </c>
      <c r="F4314" s="156">
        <v>118418.93</v>
      </c>
      <c r="G4314" s="131">
        <f t="shared" si="253"/>
        <v>21220.672255999998</v>
      </c>
      <c r="H4314" s="156">
        <v>446.65</v>
      </c>
      <c r="I4314" s="156">
        <v>0</v>
      </c>
      <c r="J4314" s="156">
        <v>0</v>
      </c>
      <c r="K4314" s="131">
        <f t="shared" si="254"/>
        <v>446.65</v>
      </c>
      <c r="L4314" s="134">
        <v>0.1792</v>
      </c>
    </row>
    <row r="4315" spans="3:12">
      <c r="C4315" s="161">
        <f t="shared" si="252"/>
        <v>2018</v>
      </c>
      <c r="D4315" s="35" t="s">
        <v>324</v>
      </c>
      <c r="E4315" s="227">
        <v>43160</v>
      </c>
      <c r="F4315" s="156">
        <v>116878.59</v>
      </c>
      <c r="G4315" s="131">
        <f t="shared" si="253"/>
        <v>20944.643327999998</v>
      </c>
      <c r="H4315" s="156">
        <v>43.32</v>
      </c>
      <c r="I4315" s="156">
        <v>0</v>
      </c>
      <c r="J4315" s="156">
        <v>0</v>
      </c>
      <c r="K4315" s="131">
        <f t="shared" si="254"/>
        <v>43.32</v>
      </c>
      <c r="L4315" s="134">
        <v>0.1792</v>
      </c>
    </row>
    <row r="4316" spans="3:12">
      <c r="C4316" s="161">
        <f t="shared" si="252"/>
        <v>2018</v>
      </c>
      <c r="D4316" s="35" t="s">
        <v>324</v>
      </c>
      <c r="E4316" s="227">
        <v>43191</v>
      </c>
      <c r="F4316" s="156">
        <v>123524.53</v>
      </c>
      <c r="G4316" s="131">
        <f t="shared" si="253"/>
        <v>22135.595775999998</v>
      </c>
      <c r="H4316" s="156">
        <v>5513.84</v>
      </c>
      <c r="I4316" s="156">
        <v>131.69</v>
      </c>
      <c r="J4316" s="156">
        <v>1189</v>
      </c>
      <c r="K4316" s="131">
        <f t="shared" si="254"/>
        <v>6834.53</v>
      </c>
      <c r="L4316" s="134">
        <v>0.1792</v>
      </c>
    </row>
    <row r="4317" spans="3:12">
      <c r="C4317" s="161">
        <f t="shared" si="252"/>
        <v>2018</v>
      </c>
      <c r="D4317" s="35" t="s">
        <v>324</v>
      </c>
      <c r="E4317" s="227">
        <v>43221</v>
      </c>
      <c r="F4317" s="156">
        <v>119426.45</v>
      </c>
      <c r="G4317" s="131">
        <f t="shared" si="253"/>
        <v>21401.219839999998</v>
      </c>
      <c r="H4317" s="156">
        <v>1163.49</v>
      </c>
      <c r="I4317" s="156">
        <v>39.9</v>
      </c>
      <c r="J4317" s="156">
        <v>33890.769999999997</v>
      </c>
      <c r="K4317" s="131">
        <f t="shared" si="254"/>
        <v>35094.159999999996</v>
      </c>
      <c r="L4317" s="134">
        <v>0.1792</v>
      </c>
    </row>
    <row r="4318" spans="3:12">
      <c r="C4318" s="161">
        <f t="shared" si="252"/>
        <v>2018</v>
      </c>
      <c r="D4318" s="35" t="s">
        <v>324</v>
      </c>
      <c r="E4318" s="227">
        <v>43252</v>
      </c>
      <c r="F4318" s="156">
        <v>115221.54</v>
      </c>
      <c r="G4318" s="131">
        <f t="shared" si="253"/>
        <v>20647.699967999997</v>
      </c>
      <c r="H4318" s="156">
        <v>196.07</v>
      </c>
      <c r="I4318" s="156">
        <v>0</v>
      </c>
      <c r="J4318" s="156">
        <v>0</v>
      </c>
      <c r="K4318" s="131">
        <f t="shared" si="254"/>
        <v>196.07</v>
      </c>
      <c r="L4318" s="134">
        <v>0.1792</v>
      </c>
    </row>
    <row r="4319" spans="3:12">
      <c r="C4319" s="161">
        <f t="shared" si="252"/>
        <v>2018</v>
      </c>
      <c r="D4319" s="35" t="s">
        <v>324</v>
      </c>
      <c r="E4319" s="227">
        <v>43282</v>
      </c>
      <c r="F4319" s="156">
        <v>120227.75</v>
      </c>
      <c r="G4319" s="131">
        <f t="shared" si="253"/>
        <v>21544.8128</v>
      </c>
      <c r="H4319" s="156">
        <v>236.25</v>
      </c>
      <c r="I4319" s="156">
        <v>178.84</v>
      </c>
      <c r="J4319" s="156">
        <v>24820.17</v>
      </c>
      <c r="K4319" s="131">
        <f t="shared" si="254"/>
        <v>25235.26</v>
      </c>
      <c r="L4319" s="134">
        <v>0.1792</v>
      </c>
    </row>
    <row r="4320" spans="3:12">
      <c r="C4320" s="161">
        <f t="shared" si="252"/>
        <v>2018</v>
      </c>
      <c r="D4320" s="35" t="s">
        <v>324</v>
      </c>
      <c r="E4320" s="227">
        <v>43313</v>
      </c>
      <c r="F4320" s="156">
        <v>114138.2</v>
      </c>
      <c r="G4320" s="131">
        <f t="shared" si="253"/>
        <v>20453.565439999998</v>
      </c>
      <c r="H4320" s="156">
        <v>0</v>
      </c>
      <c r="I4320" s="156">
        <v>42.39</v>
      </c>
      <c r="J4320" s="156">
        <v>256.60000000000002</v>
      </c>
      <c r="K4320" s="131">
        <f t="shared" si="254"/>
        <v>298.99</v>
      </c>
      <c r="L4320" s="134">
        <v>0.1792</v>
      </c>
    </row>
    <row r="4321" spans="3:12">
      <c r="C4321" s="161">
        <f t="shared" si="252"/>
        <v>2018</v>
      </c>
      <c r="D4321" s="35" t="s">
        <v>324</v>
      </c>
      <c r="E4321" s="227">
        <v>43344</v>
      </c>
      <c r="F4321" s="156">
        <v>119411.71</v>
      </c>
      <c r="G4321" s="131">
        <f t="shared" si="253"/>
        <v>21398.578432000002</v>
      </c>
      <c r="H4321" s="156">
        <v>72.239999999999995</v>
      </c>
      <c r="I4321" s="156">
        <v>123.22</v>
      </c>
      <c r="J4321" s="156">
        <v>0</v>
      </c>
      <c r="K4321" s="131">
        <f t="shared" si="254"/>
        <v>195.45999999999998</v>
      </c>
      <c r="L4321" s="134">
        <v>0.1792</v>
      </c>
    </row>
    <row r="4322" spans="3:12">
      <c r="C4322" s="161">
        <f t="shared" si="252"/>
        <v>2018</v>
      </c>
      <c r="D4322" s="35" t="s">
        <v>324</v>
      </c>
      <c r="E4322" s="227">
        <v>43374</v>
      </c>
      <c r="F4322" s="156">
        <v>119404.84</v>
      </c>
      <c r="G4322" s="131">
        <f t="shared" si="253"/>
        <v>21397.347328</v>
      </c>
      <c r="H4322" s="156">
        <v>42.27</v>
      </c>
      <c r="I4322" s="156">
        <v>91.01</v>
      </c>
      <c r="J4322" s="156">
        <v>0</v>
      </c>
      <c r="K4322" s="131">
        <f t="shared" si="254"/>
        <v>133.28</v>
      </c>
      <c r="L4322" s="134">
        <v>0.1792</v>
      </c>
    </row>
    <row r="4323" spans="3:12">
      <c r="C4323" s="161">
        <f t="shared" si="252"/>
        <v>2018</v>
      </c>
      <c r="D4323" s="35" t="s">
        <v>324</v>
      </c>
      <c r="E4323" s="227">
        <v>43405</v>
      </c>
      <c r="F4323" s="156">
        <v>123505.059975</v>
      </c>
      <c r="G4323" s="131">
        <f t="shared" si="253"/>
        <v>22132.10674752</v>
      </c>
      <c r="H4323" s="156">
        <v>42.27</v>
      </c>
      <c r="I4323" s="156">
        <v>228.77</v>
      </c>
      <c r="J4323" s="156">
        <v>0</v>
      </c>
      <c r="K4323" s="131">
        <f t="shared" si="254"/>
        <v>271.04000000000002</v>
      </c>
      <c r="L4323" s="134">
        <v>0.1792</v>
      </c>
    </row>
    <row r="4324" spans="3:12">
      <c r="C4324" s="161">
        <f t="shared" si="252"/>
        <v>2018</v>
      </c>
      <c r="D4324" s="35" t="s">
        <v>324</v>
      </c>
      <c r="E4324" s="227">
        <v>43435</v>
      </c>
      <c r="F4324" s="156">
        <v>134320.16</v>
      </c>
      <c r="G4324" s="131">
        <f t="shared" si="253"/>
        <v>24070.172672000001</v>
      </c>
      <c r="H4324" s="156">
        <v>42.27</v>
      </c>
      <c r="I4324" s="156">
        <v>87.35</v>
      </c>
      <c r="J4324" s="156">
        <v>0</v>
      </c>
      <c r="K4324" s="131">
        <f t="shared" si="254"/>
        <v>129.62</v>
      </c>
      <c r="L4324" s="134">
        <v>0.1792</v>
      </c>
    </row>
    <row r="4325" spans="3:12">
      <c r="C4325" s="161">
        <f t="shared" si="252"/>
        <v>2019</v>
      </c>
      <c r="D4325" s="35" t="s">
        <v>324</v>
      </c>
      <c r="E4325" s="227">
        <v>43466</v>
      </c>
      <c r="F4325" s="156">
        <v>139032.29</v>
      </c>
      <c r="G4325" s="131">
        <f t="shared" si="253"/>
        <v>24914.586368</v>
      </c>
      <c r="H4325" s="156">
        <v>262.16000000000003</v>
      </c>
      <c r="I4325" s="156">
        <v>180.47</v>
      </c>
      <c r="J4325" s="156">
        <v>0</v>
      </c>
      <c r="K4325" s="131">
        <f t="shared" si="254"/>
        <v>442.63</v>
      </c>
      <c r="L4325" s="134">
        <v>0.1792</v>
      </c>
    </row>
    <row r="4326" spans="3:12">
      <c r="C4326" s="161">
        <f t="shared" si="252"/>
        <v>2019</v>
      </c>
      <c r="D4326" s="35" t="s">
        <v>324</v>
      </c>
      <c r="E4326" s="227">
        <v>43497</v>
      </c>
      <c r="F4326" s="156">
        <v>130385.61</v>
      </c>
      <c r="G4326" s="131">
        <f t="shared" si="253"/>
        <v>23365.101311999999</v>
      </c>
      <c r="H4326" s="156">
        <v>4562.9799999999996</v>
      </c>
      <c r="I4326" s="156">
        <v>138.05000000000001</v>
      </c>
      <c r="J4326" s="156">
        <v>0</v>
      </c>
      <c r="K4326" s="131">
        <f t="shared" si="254"/>
        <v>4701.03</v>
      </c>
      <c r="L4326" s="134">
        <v>0.1792</v>
      </c>
    </row>
    <row r="4327" spans="3:12">
      <c r="C4327" s="161">
        <f t="shared" si="252"/>
        <v>2019</v>
      </c>
      <c r="D4327" s="35" t="s">
        <v>324</v>
      </c>
      <c r="E4327" s="227">
        <v>43525</v>
      </c>
      <c r="F4327" s="156">
        <v>114892.55</v>
      </c>
      <c r="G4327" s="131">
        <f t="shared" si="253"/>
        <v>20588.74496</v>
      </c>
      <c r="H4327" s="156">
        <v>541.11</v>
      </c>
      <c r="I4327" s="156">
        <v>95.58</v>
      </c>
      <c r="J4327" s="156">
        <v>0</v>
      </c>
      <c r="K4327" s="131">
        <f t="shared" si="254"/>
        <v>636.69000000000005</v>
      </c>
      <c r="L4327" s="134">
        <v>0.1792</v>
      </c>
    </row>
    <row r="4328" spans="3:12">
      <c r="C4328" s="161">
        <f t="shared" si="252"/>
        <v>2019</v>
      </c>
      <c r="D4328" s="35" t="s">
        <v>324</v>
      </c>
      <c r="E4328" s="227">
        <v>43556</v>
      </c>
      <c r="F4328" s="156">
        <v>130516.01</v>
      </c>
      <c r="G4328" s="131">
        <f t="shared" si="253"/>
        <v>23388.468991999998</v>
      </c>
      <c r="H4328" s="156">
        <v>343.57</v>
      </c>
      <c r="I4328" s="156">
        <v>96.9</v>
      </c>
      <c r="J4328" s="156">
        <v>0</v>
      </c>
      <c r="K4328" s="131">
        <f t="shared" si="254"/>
        <v>440.47</v>
      </c>
      <c r="L4328" s="134">
        <v>0.1792</v>
      </c>
    </row>
    <row r="4329" spans="3:12">
      <c r="C4329" s="161">
        <f t="shared" si="252"/>
        <v>2019</v>
      </c>
      <c r="D4329" s="35" t="s">
        <v>324</v>
      </c>
      <c r="E4329" s="227">
        <v>43586</v>
      </c>
      <c r="F4329" s="156">
        <v>119462.21</v>
      </c>
      <c r="G4329" s="131">
        <f t="shared" si="253"/>
        <v>21407.628032000001</v>
      </c>
      <c r="H4329" s="156">
        <v>698.08</v>
      </c>
      <c r="I4329" s="156">
        <v>176.71</v>
      </c>
      <c r="J4329" s="156">
        <v>0</v>
      </c>
      <c r="K4329" s="131">
        <f t="shared" si="254"/>
        <v>874.79000000000008</v>
      </c>
      <c r="L4329" s="134">
        <v>0.1792</v>
      </c>
    </row>
    <row r="4330" spans="3:12">
      <c r="C4330" s="161">
        <f t="shared" si="252"/>
        <v>2019</v>
      </c>
      <c r="D4330" s="35" t="s">
        <v>324</v>
      </c>
      <c r="E4330" s="227">
        <v>43617</v>
      </c>
      <c r="F4330" s="156">
        <v>132472.97</v>
      </c>
      <c r="G4330" s="131">
        <f t="shared" si="253"/>
        <v>23739.156223999998</v>
      </c>
      <c r="H4330" s="156">
        <v>100.76</v>
      </c>
      <c r="I4330" s="156">
        <v>99.24</v>
      </c>
      <c r="J4330" s="156">
        <v>0</v>
      </c>
      <c r="K4330" s="131">
        <f t="shared" si="254"/>
        <v>200</v>
      </c>
      <c r="L4330" s="134">
        <v>0.1792</v>
      </c>
    </row>
    <row r="4331" spans="3:12">
      <c r="C4331" s="161">
        <f t="shared" si="252"/>
        <v>2019</v>
      </c>
      <c r="D4331" s="35" t="s">
        <v>324</v>
      </c>
      <c r="E4331" s="227">
        <v>43647</v>
      </c>
      <c r="F4331" s="156">
        <v>123621.14</v>
      </c>
      <c r="G4331" s="131">
        <f t="shared" si="253"/>
        <v>22152.908287999999</v>
      </c>
      <c r="H4331" s="156">
        <v>324.77</v>
      </c>
      <c r="I4331" s="156">
        <v>1213.67</v>
      </c>
      <c r="J4331" s="156">
        <v>0</v>
      </c>
      <c r="K4331" s="131">
        <f t="shared" si="254"/>
        <v>1538.44</v>
      </c>
      <c r="L4331" s="134">
        <v>0.1792</v>
      </c>
    </row>
    <row r="4332" spans="3:12">
      <c r="C4332" s="161">
        <f t="shared" si="252"/>
        <v>2019</v>
      </c>
      <c r="D4332" s="35" t="s">
        <v>324</v>
      </c>
      <c r="E4332" s="227">
        <v>43678</v>
      </c>
      <c r="F4332" s="156">
        <v>129328.61</v>
      </c>
      <c r="G4332" s="131">
        <f t="shared" si="253"/>
        <v>23175.686912000001</v>
      </c>
      <c r="H4332" s="156">
        <v>114.54</v>
      </c>
      <c r="I4332" s="156">
        <v>3805.77</v>
      </c>
      <c r="J4332" s="156">
        <v>0</v>
      </c>
      <c r="K4332" s="131">
        <f t="shared" si="254"/>
        <v>3920.31</v>
      </c>
      <c r="L4332" s="134">
        <v>0.1792</v>
      </c>
    </row>
    <row r="4333" spans="3:12">
      <c r="C4333" s="161">
        <f t="shared" si="252"/>
        <v>2019</v>
      </c>
      <c r="D4333" s="35" t="s">
        <v>324</v>
      </c>
      <c r="E4333" s="227">
        <v>43709</v>
      </c>
      <c r="F4333" s="156">
        <v>141657.59</v>
      </c>
      <c r="G4333" s="131">
        <f t="shared" si="253"/>
        <v>25385.040128000001</v>
      </c>
      <c r="H4333" s="156">
        <v>1027.3</v>
      </c>
      <c r="I4333" s="156">
        <v>95.41</v>
      </c>
      <c r="J4333" s="156">
        <v>0</v>
      </c>
      <c r="K4333" s="131">
        <f t="shared" si="254"/>
        <v>1122.71</v>
      </c>
      <c r="L4333" s="134">
        <v>0.1792</v>
      </c>
    </row>
    <row r="4334" spans="3:12">
      <c r="C4334" s="161">
        <f t="shared" si="252"/>
        <v>2019</v>
      </c>
      <c r="D4334" s="35" t="s">
        <v>324</v>
      </c>
      <c r="E4334" s="227">
        <v>43739</v>
      </c>
      <c r="F4334" s="156">
        <v>134084.67000000001</v>
      </c>
      <c r="G4334" s="131">
        <f t="shared" si="253"/>
        <v>24027.972864000003</v>
      </c>
      <c r="H4334" s="156">
        <v>970.17</v>
      </c>
      <c r="I4334" s="156">
        <v>2562.16</v>
      </c>
      <c r="J4334" s="156">
        <v>1018.3</v>
      </c>
      <c r="K4334" s="131">
        <f t="shared" si="254"/>
        <v>4550.63</v>
      </c>
      <c r="L4334" s="134">
        <v>0.1792</v>
      </c>
    </row>
    <row r="4335" spans="3:12">
      <c r="C4335" s="161">
        <f t="shared" si="252"/>
        <v>2019</v>
      </c>
      <c r="D4335" s="35" t="s">
        <v>324</v>
      </c>
      <c r="E4335" s="227">
        <v>43770</v>
      </c>
      <c r="F4335" s="156">
        <v>148984.95000000001</v>
      </c>
      <c r="G4335" s="131">
        <f t="shared" si="253"/>
        <v>26698.103040000002</v>
      </c>
      <c r="H4335" s="156">
        <v>353.91</v>
      </c>
      <c r="I4335" s="156">
        <v>15637.94</v>
      </c>
      <c r="J4335" s="156">
        <v>0</v>
      </c>
      <c r="K4335" s="131">
        <f t="shared" si="254"/>
        <v>15991.85</v>
      </c>
      <c r="L4335" s="134">
        <v>0.1792</v>
      </c>
    </row>
    <row r="4336" spans="3:12">
      <c r="C4336" s="161">
        <f t="shared" si="252"/>
        <v>2019</v>
      </c>
      <c r="D4336" s="35" t="s">
        <v>324</v>
      </c>
      <c r="E4336" s="227">
        <v>43800</v>
      </c>
      <c r="F4336" s="156">
        <v>137709.79</v>
      </c>
      <c r="G4336" s="131">
        <f t="shared" si="253"/>
        <v>24677.594368000002</v>
      </c>
      <c r="H4336" s="156">
        <v>570.98</v>
      </c>
      <c r="I4336" s="156">
        <v>2843.97</v>
      </c>
      <c r="J4336" s="156">
        <v>0</v>
      </c>
      <c r="K4336" s="131">
        <f t="shared" si="254"/>
        <v>3414.95</v>
      </c>
      <c r="L4336" s="134">
        <v>0.1792</v>
      </c>
    </row>
    <row r="4337" spans="3:12">
      <c r="C4337" s="161">
        <f t="shared" si="252"/>
        <v>2020</v>
      </c>
      <c r="D4337" s="35" t="s">
        <v>324</v>
      </c>
      <c r="E4337" s="227">
        <v>43831</v>
      </c>
      <c r="F4337" s="156">
        <v>141313.79999999999</v>
      </c>
      <c r="G4337" s="131">
        <f t="shared" si="253"/>
        <v>25323.432959999998</v>
      </c>
      <c r="H4337" s="156">
        <v>335.94</v>
      </c>
      <c r="I4337" s="156">
        <v>1349.82</v>
      </c>
      <c r="J4337" s="156">
        <v>0</v>
      </c>
      <c r="K4337" s="131">
        <f t="shared" si="254"/>
        <v>1685.76</v>
      </c>
      <c r="L4337" s="134">
        <v>0.1792</v>
      </c>
    </row>
    <row r="4338" spans="3:12">
      <c r="C4338" s="161">
        <f t="shared" si="252"/>
        <v>2020</v>
      </c>
      <c r="D4338" s="35" t="s">
        <v>324</v>
      </c>
      <c r="E4338" s="227">
        <v>43862</v>
      </c>
      <c r="F4338" s="156">
        <v>143324.85</v>
      </c>
      <c r="G4338" s="131">
        <f t="shared" si="253"/>
        <v>25683.813120000003</v>
      </c>
      <c r="H4338" s="156">
        <v>262.89</v>
      </c>
      <c r="I4338" s="156">
        <v>4896.2700000000004</v>
      </c>
      <c r="J4338" s="156">
        <v>0</v>
      </c>
      <c r="K4338" s="131">
        <f t="shared" si="254"/>
        <v>5159.1600000000008</v>
      </c>
      <c r="L4338" s="134">
        <v>0.1792</v>
      </c>
    </row>
    <row r="4339" spans="3:12">
      <c r="C4339" s="161">
        <f t="shared" si="252"/>
        <v>2020</v>
      </c>
      <c r="D4339" s="35" t="s">
        <v>324</v>
      </c>
      <c r="E4339" s="227">
        <v>43891</v>
      </c>
      <c r="F4339" s="156">
        <v>135232.22872499999</v>
      </c>
      <c r="G4339" s="131">
        <f t="shared" si="253"/>
        <v>24233.61538752</v>
      </c>
      <c r="H4339" s="156">
        <v>1118.05</v>
      </c>
      <c r="I4339" s="156">
        <v>23407.54</v>
      </c>
      <c r="J4339" s="156">
        <v>0</v>
      </c>
      <c r="K4339" s="131">
        <f t="shared" si="254"/>
        <v>24525.59</v>
      </c>
      <c r="L4339" s="134">
        <v>0.1792</v>
      </c>
    </row>
    <row r="4340" spans="3:12">
      <c r="C4340" s="161">
        <f t="shared" si="252"/>
        <v>2020</v>
      </c>
      <c r="D4340" s="35" t="s">
        <v>324</v>
      </c>
      <c r="E4340" s="227">
        <v>43922</v>
      </c>
      <c r="F4340" s="156">
        <v>153354.70425000001</v>
      </c>
      <c r="G4340" s="131">
        <f t="shared" si="253"/>
        <v>27481.163001600002</v>
      </c>
      <c r="H4340" s="156">
        <v>824.08</v>
      </c>
      <c r="I4340" s="156">
        <v>1562.67</v>
      </c>
      <c r="J4340" s="156">
        <v>0</v>
      </c>
      <c r="K4340" s="131">
        <f t="shared" si="254"/>
        <v>2386.75</v>
      </c>
      <c r="L4340" s="134">
        <v>0.1792</v>
      </c>
    </row>
    <row r="4341" spans="3:12">
      <c r="C4341" s="161">
        <f t="shared" si="252"/>
        <v>2020</v>
      </c>
      <c r="D4341" s="35" t="s">
        <v>324</v>
      </c>
      <c r="E4341" s="227">
        <v>43952</v>
      </c>
      <c r="F4341" s="156">
        <v>142499.70000000001</v>
      </c>
      <c r="G4341" s="131">
        <f t="shared" si="253"/>
        <v>25535.946240000001</v>
      </c>
      <c r="H4341" s="156">
        <v>425.12</v>
      </c>
      <c r="I4341" s="156">
        <v>907.46</v>
      </c>
      <c r="J4341" s="156">
        <v>0</v>
      </c>
      <c r="K4341" s="131">
        <f t="shared" si="254"/>
        <v>1332.58</v>
      </c>
      <c r="L4341" s="134">
        <v>0.1792</v>
      </c>
    </row>
    <row r="4342" spans="3:12">
      <c r="C4342" s="161">
        <f t="shared" si="252"/>
        <v>2020</v>
      </c>
      <c r="D4342" s="35" t="s">
        <v>324</v>
      </c>
      <c r="E4342" s="227">
        <v>43983</v>
      </c>
      <c r="F4342" s="156">
        <v>136301.87</v>
      </c>
      <c r="G4342" s="131">
        <f t="shared" si="253"/>
        <v>24425.295104000001</v>
      </c>
      <c r="H4342" s="156">
        <v>669.97</v>
      </c>
      <c r="I4342" s="156">
        <v>2898.11</v>
      </c>
      <c r="J4342" s="156">
        <v>0</v>
      </c>
      <c r="K4342" s="131">
        <f t="shared" si="254"/>
        <v>3568.08</v>
      </c>
      <c r="L4342" s="134">
        <v>0.1792</v>
      </c>
    </row>
    <row r="4343" spans="3:12">
      <c r="C4343" s="161">
        <f t="shared" si="252"/>
        <v>2020</v>
      </c>
      <c r="D4343" s="35" t="s">
        <v>324</v>
      </c>
      <c r="E4343" s="227">
        <v>44013</v>
      </c>
      <c r="F4343" s="156">
        <v>144615.16</v>
      </c>
      <c r="G4343" s="131">
        <f t="shared" si="253"/>
        <v>25915.036672000002</v>
      </c>
      <c r="H4343" s="156">
        <v>1325.56</v>
      </c>
      <c r="I4343" s="156">
        <v>532.73</v>
      </c>
      <c r="J4343" s="156">
        <v>0</v>
      </c>
      <c r="K4343" s="131">
        <f t="shared" si="254"/>
        <v>1858.29</v>
      </c>
      <c r="L4343" s="134">
        <v>0.1792</v>
      </c>
    </row>
    <row r="4344" spans="3:12">
      <c r="C4344" s="161">
        <f t="shared" si="252"/>
        <v>2020</v>
      </c>
      <c r="D4344" s="35" t="s">
        <v>324</v>
      </c>
      <c r="E4344" s="227">
        <v>44044</v>
      </c>
      <c r="F4344" s="156">
        <v>138361.51999999999</v>
      </c>
      <c r="G4344" s="131">
        <f t="shared" si="253"/>
        <v>24794.384383999997</v>
      </c>
      <c r="H4344" s="156">
        <v>368.08</v>
      </c>
      <c r="I4344" s="156">
        <v>936.94</v>
      </c>
      <c r="J4344" s="156">
        <v>0</v>
      </c>
      <c r="K4344" s="131">
        <f t="shared" si="254"/>
        <v>1305.02</v>
      </c>
      <c r="L4344" s="134">
        <v>0.1792</v>
      </c>
    </row>
    <row r="4345" spans="3:12">
      <c r="C4345" s="161">
        <f t="shared" si="252"/>
        <v>2020</v>
      </c>
      <c r="D4345" s="35" t="s">
        <v>324</v>
      </c>
      <c r="E4345" s="227">
        <v>44075</v>
      </c>
      <c r="F4345" s="156">
        <v>152020.23000000001</v>
      </c>
      <c r="G4345" s="131">
        <f t="shared" si="253"/>
        <v>27242.025216000002</v>
      </c>
      <c r="H4345" s="156">
        <v>6044.79</v>
      </c>
      <c r="I4345" s="156">
        <v>0</v>
      </c>
      <c r="J4345" s="156">
        <v>0</v>
      </c>
      <c r="K4345" s="131">
        <f t="shared" si="254"/>
        <v>6044.79</v>
      </c>
      <c r="L4345" s="134">
        <v>0.1792</v>
      </c>
    </row>
    <row r="4346" spans="3:12">
      <c r="C4346" s="161">
        <f t="shared" si="252"/>
        <v>2020</v>
      </c>
      <c r="D4346" s="35" t="s">
        <v>324</v>
      </c>
      <c r="E4346" s="227">
        <v>44105</v>
      </c>
      <c r="F4346" s="156">
        <v>163771.98000000001</v>
      </c>
      <c r="G4346" s="131">
        <f t="shared" si="253"/>
        <v>29347.938816000002</v>
      </c>
      <c r="H4346" s="156">
        <v>7303.16</v>
      </c>
      <c r="I4346" s="156">
        <v>1804.18</v>
      </c>
      <c r="J4346" s="156">
        <v>0</v>
      </c>
      <c r="K4346" s="131">
        <f t="shared" si="254"/>
        <v>9107.34</v>
      </c>
      <c r="L4346" s="134">
        <v>0.1792</v>
      </c>
    </row>
    <row r="4347" spans="3:12">
      <c r="C4347" s="161">
        <f t="shared" si="252"/>
        <v>2020</v>
      </c>
      <c r="D4347" s="35" t="s">
        <v>324</v>
      </c>
      <c r="E4347" s="227">
        <v>44136</v>
      </c>
      <c r="F4347" s="156">
        <v>153528.64000000001</v>
      </c>
      <c r="G4347" s="131">
        <f t="shared" si="253"/>
        <v>27512.332288000001</v>
      </c>
      <c r="H4347" s="156">
        <v>502.18</v>
      </c>
      <c r="I4347" s="156">
        <v>1028.18</v>
      </c>
      <c r="J4347" s="156">
        <v>0</v>
      </c>
      <c r="K4347" s="131">
        <f t="shared" si="254"/>
        <v>1530.3600000000001</v>
      </c>
      <c r="L4347" s="134">
        <v>0.1792</v>
      </c>
    </row>
    <row r="4348" spans="3:12">
      <c r="C4348" s="161">
        <f t="shared" si="252"/>
        <v>2020</v>
      </c>
      <c r="D4348" s="35" t="s">
        <v>324</v>
      </c>
      <c r="E4348" s="227">
        <v>44166</v>
      </c>
      <c r="F4348" s="156">
        <v>144892.99</v>
      </c>
      <c r="G4348" s="131">
        <f t="shared" si="253"/>
        <v>25964.823807999997</v>
      </c>
      <c r="H4348" s="156">
        <v>51.83</v>
      </c>
      <c r="I4348" s="156">
        <v>883.85</v>
      </c>
      <c r="J4348" s="156">
        <v>0</v>
      </c>
      <c r="K4348" s="131">
        <f t="shared" si="254"/>
        <v>935.68000000000006</v>
      </c>
      <c r="L4348" s="134">
        <v>0.1792</v>
      </c>
    </row>
    <row r="4349" spans="3:12">
      <c r="C4349" s="161">
        <f t="shared" si="252"/>
        <v>2021</v>
      </c>
      <c r="D4349" s="35" t="s">
        <v>324</v>
      </c>
      <c r="E4349" s="227">
        <v>44197</v>
      </c>
      <c r="F4349" s="156">
        <v>158739.74</v>
      </c>
      <c r="G4349" s="131">
        <f t="shared" si="253"/>
        <v>28446.161407999996</v>
      </c>
      <c r="H4349" s="156">
        <v>0</v>
      </c>
      <c r="I4349" s="156">
        <v>115322.96</v>
      </c>
      <c r="J4349" s="156">
        <v>0</v>
      </c>
      <c r="K4349" s="131">
        <f t="shared" si="254"/>
        <v>115322.96</v>
      </c>
      <c r="L4349" s="134">
        <v>0.1792</v>
      </c>
    </row>
    <row r="4350" spans="3:12">
      <c r="C4350" s="161">
        <f t="shared" si="252"/>
        <v>2021</v>
      </c>
      <c r="D4350" s="35" t="s">
        <v>324</v>
      </c>
      <c r="E4350" s="227">
        <v>44229</v>
      </c>
      <c r="F4350" s="156">
        <v>134628.37</v>
      </c>
      <c r="G4350" s="131">
        <f t="shared" si="253"/>
        <v>24125.403903999999</v>
      </c>
      <c r="H4350" s="156">
        <v>215.27</v>
      </c>
      <c r="I4350" s="156">
        <v>37711.870000000003</v>
      </c>
      <c r="J4350" s="156">
        <v>0</v>
      </c>
      <c r="K4350" s="131">
        <f t="shared" si="254"/>
        <v>37927.14</v>
      </c>
      <c r="L4350" s="134">
        <v>0.1792</v>
      </c>
    </row>
    <row r="4351" spans="3:12">
      <c r="C4351" s="161">
        <f t="shared" si="252"/>
        <v>2021</v>
      </c>
      <c r="D4351" s="35" t="s">
        <v>324</v>
      </c>
      <c r="E4351" s="227">
        <v>44258</v>
      </c>
      <c r="F4351" s="156">
        <v>142723.26999999999</v>
      </c>
      <c r="G4351" s="131">
        <f t="shared" si="253"/>
        <v>25576.009983999997</v>
      </c>
      <c r="H4351" s="156">
        <v>103.66</v>
      </c>
      <c r="I4351" s="156">
        <v>3482.06</v>
      </c>
      <c r="J4351" s="156">
        <v>0</v>
      </c>
      <c r="K4351" s="131">
        <f t="shared" si="254"/>
        <v>3585.72</v>
      </c>
      <c r="L4351" s="134">
        <v>0.1792</v>
      </c>
    </row>
    <row r="4352" spans="3:12">
      <c r="C4352" s="161">
        <f t="shared" si="252"/>
        <v>2021</v>
      </c>
      <c r="D4352" s="35" t="s">
        <v>324</v>
      </c>
      <c r="E4352" s="227">
        <v>44290</v>
      </c>
      <c r="F4352" s="156">
        <v>141706.17000000001</v>
      </c>
      <c r="G4352" s="131">
        <f t="shared" si="253"/>
        <v>25393.745664000002</v>
      </c>
      <c r="H4352" s="156">
        <v>2928.24</v>
      </c>
      <c r="I4352" s="156">
        <v>1623.6</v>
      </c>
      <c r="J4352" s="156">
        <v>0</v>
      </c>
      <c r="K4352" s="131">
        <f t="shared" si="254"/>
        <v>4551.84</v>
      </c>
      <c r="L4352" s="134">
        <v>0.1792</v>
      </c>
    </row>
    <row r="4353" spans="3:12">
      <c r="C4353" s="161">
        <f t="shared" si="252"/>
        <v>2021</v>
      </c>
      <c r="D4353" s="35" t="s">
        <v>324</v>
      </c>
      <c r="E4353" s="227">
        <v>44321</v>
      </c>
      <c r="F4353" s="156">
        <v>139958.09</v>
      </c>
      <c r="G4353" s="131">
        <f t="shared" si="253"/>
        <v>25080.489728</v>
      </c>
      <c r="H4353" s="156">
        <v>3853.53</v>
      </c>
      <c r="I4353" s="156">
        <v>0</v>
      </c>
      <c r="J4353" s="156">
        <v>0</v>
      </c>
      <c r="K4353" s="131">
        <f t="shared" si="254"/>
        <v>3853.53</v>
      </c>
      <c r="L4353" s="134">
        <v>0.1792</v>
      </c>
    </row>
    <row r="4354" spans="3:12">
      <c r="C4354" s="161">
        <f t="shared" si="252"/>
        <v>2021</v>
      </c>
      <c r="D4354" s="35" t="s">
        <v>324</v>
      </c>
      <c r="E4354" s="227">
        <v>44353</v>
      </c>
      <c r="F4354" s="156">
        <v>149420.35999999999</v>
      </c>
      <c r="G4354" s="131">
        <f t="shared" si="253"/>
        <v>26776.128511999996</v>
      </c>
      <c r="H4354" s="156">
        <v>2823.23</v>
      </c>
      <c r="I4354" s="156">
        <v>0</v>
      </c>
      <c r="J4354" s="156">
        <v>0</v>
      </c>
      <c r="K4354" s="131">
        <f t="shared" si="254"/>
        <v>2823.23</v>
      </c>
      <c r="L4354" s="134">
        <v>0.1792</v>
      </c>
    </row>
    <row r="4355" spans="3:12">
      <c r="C4355" s="161">
        <f t="shared" si="252"/>
        <v>2015</v>
      </c>
      <c r="D4355" s="35" t="s">
        <v>325</v>
      </c>
      <c r="E4355" s="227">
        <v>42309</v>
      </c>
      <c r="F4355" s="156">
        <v>58893.599999999999</v>
      </c>
      <c r="G4355" s="131">
        <f t="shared" si="253"/>
        <v>10553.733119999999</v>
      </c>
      <c r="H4355" s="156">
        <v>637.71</v>
      </c>
      <c r="I4355" s="156">
        <v>0</v>
      </c>
      <c r="J4355" s="156">
        <v>0</v>
      </c>
      <c r="K4355" s="131">
        <f t="shared" si="254"/>
        <v>637.71</v>
      </c>
      <c r="L4355" s="134">
        <v>0.1792</v>
      </c>
    </row>
    <row r="4356" spans="3:12">
      <c r="C4356" s="161">
        <f t="shared" ref="C4356:C4419" si="255">YEAR(E4356)</f>
        <v>2015</v>
      </c>
      <c r="D4356" s="35" t="s">
        <v>325</v>
      </c>
      <c r="E4356" s="227">
        <v>42339</v>
      </c>
      <c r="F4356" s="156">
        <v>58021.01</v>
      </c>
      <c r="G4356" s="131">
        <f t="shared" ref="G4356:G4419" si="256">F4356*L4356</f>
        <v>10397.364992000001</v>
      </c>
      <c r="H4356" s="156">
        <v>644.82000000000005</v>
      </c>
      <c r="I4356" s="156">
        <v>0</v>
      </c>
      <c r="J4356" s="156">
        <v>0</v>
      </c>
      <c r="K4356" s="131">
        <f t="shared" ref="K4356:K4419" si="257">SUM(H4356:J4356)</f>
        <v>644.82000000000005</v>
      </c>
      <c r="L4356" s="134">
        <v>0.1792</v>
      </c>
    </row>
    <row r="4357" spans="3:12">
      <c r="C4357" s="161">
        <f t="shared" si="255"/>
        <v>2016</v>
      </c>
      <c r="D4357" s="35" t="s">
        <v>325</v>
      </c>
      <c r="E4357" s="227">
        <v>42370</v>
      </c>
      <c r="F4357" s="156">
        <v>61438.98</v>
      </c>
      <c r="G4357" s="131">
        <f t="shared" si="256"/>
        <v>11009.865216</v>
      </c>
      <c r="H4357" s="156">
        <v>343.7</v>
      </c>
      <c r="I4357" s="156">
        <v>0</v>
      </c>
      <c r="J4357" s="156">
        <v>0</v>
      </c>
      <c r="K4357" s="131">
        <f t="shared" si="257"/>
        <v>343.7</v>
      </c>
      <c r="L4357" s="134">
        <v>0.1792</v>
      </c>
    </row>
    <row r="4358" spans="3:12">
      <c r="C4358" s="161">
        <f t="shared" si="255"/>
        <v>2016</v>
      </c>
      <c r="D4358" s="35" t="s">
        <v>325</v>
      </c>
      <c r="E4358" s="227">
        <v>42401</v>
      </c>
      <c r="F4358" s="156">
        <v>60643.67</v>
      </c>
      <c r="G4358" s="131">
        <f t="shared" si="256"/>
        <v>10867.345664</v>
      </c>
      <c r="H4358" s="156">
        <v>339.36</v>
      </c>
      <c r="I4358" s="156">
        <v>0</v>
      </c>
      <c r="J4358" s="156">
        <v>0</v>
      </c>
      <c r="K4358" s="131">
        <f t="shared" si="257"/>
        <v>339.36</v>
      </c>
      <c r="L4358" s="134">
        <v>0.1792</v>
      </c>
    </row>
    <row r="4359" spans="3:12">
      <c r="C4359" s="161">
        <f t="shared" si="255"/>
        <v>2016</v>
      </c>
      <c r="D4359" s="35" t="s">
        <v>325</v>
      </c>
      <c r="E4359" s="227">
        <v>42430</v>
      </c>
      <c r="F4359" s="156">
        <v>54491.16</v>
      </c>
      <c r="G4359" s="131">
        <f t="shared" si="256"/>
        <v>9764.815872000001</v>
      </c>
      <c r="H4359" s="156">
        <v>512.49</v>
      </c>
      <c r="I4359" s="156">
        <v>0</v>
      </c>
      <c r="J4359" s="156">
        <v>0</v>
      </c>
      <c r="K4359" s="131">
        <f t="shared" si="257"/>
        <v>512.49</v>
      </c>
      <c r="L4359" s="134">
        <v>0.1792</v>
      </c>
    </row>
    <row r="4360" spans="3:12">
      <c r="C4360" s="161">
        <f t="shared" si="255"/>
        <v>2016</v>
      </c>
      <c r="D4360" s="35" t="s">
        <v>325</v>
      </c>
      <c r="E4360" s="227">
        <v>42461</v>
      </c>
      <c r="F4360" s="156">
        <v>60839.040000000001</v>
      </c>
      <c r="G4360" s="131">
        <f t="shared" si="256"/>
        <v>10902.355968</v>
      </c>
      <c r="H4360" s="156">
        <v>4708.3599999999997</v>
      </c>
      <c r="I4360" s="156">
        <v>0</v>
      </c>
      <c r="J4360" s="156">
        <v>0</v>
      </c>
      <c r="K4360" s="131">
        <f t="shared" si="257"/>
        <v>4708.3599999999997</v>
      </c>
      <c r="L4360" s="134">
        <v>0.1792</v>
      </c>
    </row>
    <row r="4361" spans="3:12">
      <c r="C4361" s="161">
        <f t="shared" si="255"/>
        <v>2016</v>
      </c>
      <c r="D4361" s="35" t="s">
        <v>325</v>
      </c>
      <c r="E4361" s="227">
        <v>42491</v>
      </c>
      <c r="F4361" s="156">
        <v>58415.75</v>
      </c>
      <c r="G4361" s="131">
        <f t="shared" si="256"/>
        <v>10468.1024</v>
      </c>
      <c r="H4361" s="156">
        <v>15229.14</v>
      </c>
      <c r="I4361" s="156">
        <v>0</v>
      </c>
      <c r="J4361" s="156">
        <v>0</v>
      </c>
      <c r="K4361" s="131">
        <f t="shared" si="257"/>
        <v>15229.14</v>
      </c>
      <c r="L4361" s="134">
        <v>0.1792</v>
      </c>
    </row>
    <row r="4362" spans="3:12">
      <c r="C4362" s="161">
        <f t="shared" si="255"/>
        <v>2016</v>
      </c>
      <c r="D4362" s="35" t="s">
        <v>325</v>
      </c>
      <c r="E4362" s="227">
        <v>42522</v>
      </c>
      <c r="F4362" s="156">
        <v>56684.71</v>
      </c>
      <c r="G4362" s="131">
        <f t="shared" si="256"/>
        <v>10157.900032</v>
      </c>
      <c r="H4362" s="156">
        <v>19386.07</v>
      </c>
      <c r="I4362" s="156">
        <v>0</v>
      </c>
      <c r="J4362" s="156">
        <v>7760</v>
      </c>
      <c r="K4362" s="131">
        <f t="shared" si="257"/>
        <v>27146.07</v>
      </c>
      <c r="L4362" s="134">
        <v>0.1792</v>
      </c>
    </row>
    <row r="4363" spans="3:12">
      <c r="C4363" s="161">
        <f t="shared" si="255"/>
        <v>2016</v>
      </c>
      <c r="D4363" s="35" t="s">
        <v>325</v>
      </c>
      <c r="E4363" s="227">
        <v>42552</v>
      </c>
      <c r="F4363" s="156">
        <v>61448.51</v>
      </c>
      <c r="G4363" s="131">
        <f t="shared" si="256"/>
        <v>11011.572991999999</v>
      </c>
      <c r="H4363" s="156">
        <v>12124.31</v>
      </c>
      <c r="I4363" s="156">
        <v>0</v>
      </c>
      <c r="J4363" s="156">
        <v>3980</v>
      </c>
      <c r="K4363" s="131">
        <f t="shared" si="257"/>
        <v>16104.31</v>
      </c>
      <c r="L4363" s="134">
        <v>0.1792</v>
      </c>
    </row>
    <row r="4364" spans="3:12">
      <c r="C4364" s="161">
        <f t="shared" si="255"/>
        <v>2016</v>
      </c>
      <c r="D4364" s="35" t="s">
        <v>325</v>
      </c>
      <c r="E4364" s="227">
        <v>42583</v>
      </c>
      <c r="F4364" s="156">
        <v>64373.2</v>
      </c>
      <c r="G4364" s="131">
        <f t="shared" si="256"/>
        <v>11535.677439999999</v>
      </c>
      <c r="H4364" s="156">
        <v>16982.29</v>
      </c>
      <c r="I4364" s="156">
        <v>0</v>
      </c>
      <c r="J4364" s="156">
        <v>0</v>
      </c>
      <c r="K4364" s="131">
        <f t="shared" si="257"/>
        <v>16982.29</v>
      </c>
      <c r="L4364" s="134">
        <v>0.1792</v>
      </c>
    </row>
    <row r="4365" spans="3:12">
      <c r="C4365" s="161">
        <f t="shared" si="255"/>
        <v>2016</v>
      </c>
      <c r="D4365" s="35" t="s">
        <v>325</v>
      </c>
      <c r="E4365" s="227">
        <v>42614</v>
      </c>
      <c r="F4365" s="156">
        <v>59639.44</v>
      </c>
      <c r="G4365" s="131">
        <f t="shared" si="256"/>
        <v>10687.387648</v>
      </c>
      <c r="H4365" s="156">
        <v>1577.56</v>
      </c>
      <c r="I4365" s="156">
        <v>0</v>
      </c>
      <c r="J4365" s="156">
        <v>0</v>
      </c>
      <c r="K4365" s="131">
        <f t="shared" si="257"/>
        <v>1577.56</v>
      </c>
      <c r="L4365" s="134">
        <v>0.1792</v>
      </c>
    </row>
    <row r="4366" spans="3:12">
      <c r="C4366" s="161">
        <f t="shared" si="255"/>
        <v>2016</v>
      </c>
      <c r="D4366" s="35" t="s">
        <v>325</v>
      </c>
      <c r="E4366" s="227">
        <v>42644</v>
      </c>
      <c r="F4366" s="156">
        <v>65592.52</v>
      </c>
      <c r="G4366" s="131">
        <f t="shared" si="256"/>
        <v>11754.179584000001</v>
      </c>
      <c r="H4366" s="156">
        <v>63.36</v>
      </c>
      <c r="I4366" s="156">
        <v>0</v>
      </c>
      <c r="J4366" s="156">
        <v>0</v>
      </c>
      <c r="K4366" s="131">
        <f t="shared" si="257"/>
        <v>63.36</v>
      </c>
      <c r="L4366" s="134">
        <v>0.1792</v>
      </c>
    </row>
    <row r="4367" spans="3:12">
      <c r="C4367" s="161">
        <f t="shared" si="255"/>
        <v>2016</v>
      </c>
      <c r="D4367" s="35" t="s">
        <v>325</v>
      </c>
      <c r="E4367" s="227">
        <v>42675</v>
      </c>
      <c r="F4367" s="156">
        <v>68792.53</v>
      </c>
      <c r="G4367" s="131">
        <f t="shared" si="256"/>
        <v>12327.621375999999</v>
      </c>
      <c r="H4367" s="156">
        <v>9917.7199999999993</v>
      </c>
      <c r="I4367" s="156">
        <v>0</v>
      </c>
      <c r="J4367" s="156">
        <v>0</v>
      </c>
      <c r="K4367" s="131">
        <f t="shared" si="257"/>
        <v>9917.7199999999993</v>
      </c>
      <c r="L4367" s="134">
        <v>0.1792</v>
      </c>
    </row>
    <row r="4368" spans="3:12">
      <c r="C4368" s="161">
        <f t="shared" si="255"/>
        <v>2016</v>
      </c>
      <c r="D4368" s="35" t="s">
        <v>325</v>
      </c>
      <c r="E4368" s="227">
        <v>42705</v>
      </c>
      <c r="F4368" s="156">
        <v>65367.38</v>
      </c>
      <c r="G4368" s="131">
        <f t="shared" si="256"/>
        <v>11713.834495999999</v>
      </c>
      <c r="H4368" s="156">
        <v>1110.3900000000001</v>
      </c>
      <c r="I4368" s="156">
        <v>0</v>
      </c>
      <c r="J4368" s="156">
        <v>0</v>
      </c>
      <c r="K4368" s="131">
        <f t="shared" si="257"/>
        <v>1110.3900000000001</v>
      </c>
      <c r="L4368" s="134">
        <v>0.1792</v>
      </c>
    </row>
    <row r="4369" spans="3:12">
      <c r="C4369" s="161">
        <f t="shared" si="255"/>
        <v>2017</v>
      </c>
      <c r="D4369" s="35" t="s">
        <v>325</v>
      </c>
      <c r="E4369" s="227">
        <v>42736</v>
      </c>
      <c r="F4369" s="156">
        <v>70612.62</v>
      </c>
      <c r="G4369" s="131">
        <f t="shared" si="256"/>
        <v>12653.781503999999</v>
      </c>
      <c r="H4369" s="156">
        <v>134.58000000000001</v>
      </c>
      <c r="I4369" s="156">
        <v>0</v>
      </c>
      <c r="J4369" s="156">
        <v>0</v>
      </c>
      <c r="K4369" s="131">
        <f t="shared" si="257"/>
        <v>134.58000000000001</v>
      </c>
      <c r="L4369" s="134">
        <v>0.1792</v>
      </c>
    </row>
    <row r="4370" spans="3:12">
      <c r="C4370" s="161">
        <f t="shared" si="255"/>
        <v>2017</v>
      </c>
      <c r="D4370" s="35" t="s">
        <v>325</v>
      </c>
      <c r="E4370" s="227">
        <v>42767</v>
      </c>
      <c r="F4370" s="156">
        <v>66808.66</v>
      </c>
      <c r="G4370" s="131">
        <f t="shared" si="256"/>
        <v>11972.111872000001</v>
      </c>
      <c r="H4370" s="156">
        <v>192.38</v>
      </c>
      <c r="I4370" s="156">
        <v>0</v>
      </c>
      <c r="J4370" s="156">
        <v>610</v>
      </c>
      <c r="K4370" s="131">
        <f t="shared" si="257"/>
        <v>802.38</v>
      </c>
      <c r="L4370" s="134">
        <v>0.1792</v>
      </c>
    </row>
    <row r="4371" spans="3:12">
      <c r="C4371" s="161">
        <f t="shared" si="255"/>
        <v>2017</v>
      </c>
      <c r="D4371" s="35" t="s">
        <v>325</v>
      </c>
      <c r="E4371" s="227">
        <v>42795</v>
      </c>
      <c r="F4371" s="156">
        <v>62542.400000000001</v>
      </c>
      <c r="G4371" s="131">
        <f t="shared" si="256"/>
        <v>11207.59808</v>
      </c>
      <c r="H4371" s="156">
        <v>2137.73</v>
      </c>
      <c r="I4371" s="156">
        <v>0</v>
      </c>
      <c r="J4371" s="156">
        <v>0</v>
      </c>
      <c r="K4371" s="131">
        <f t="shared" si="257"/>
        <v>2137.73</v>
      </c>
      <c r="L4371" s="134">
        <v>0.1792</v>
      </c>
    </row>
    <row r="4372" spans="3:12">
      <c r="C4372" s="161">
        <f t="shared" si="255"/>
        <v>2017</v>
      </c>
      <c r="D4372" s="35" t="s">
        <v>325</v>
      </c>
      <c r="E4372" s="227">
        <v>42826</v>
      </c>
      <c r="F4372" s="156">
        <v>67145.52</v>
      </c>
      <c r="G4372" s="131">
        <f t="shared" si="256"/>
        <v>12032.477184000001</v>
      </c>
      <c r="H4372" s="156">
        <v>57.69</v>
      </c>
      <c r="I4372" s="156">
        <v>0</v>
      </c>
      <c r="J4372" s="156">
        <v>0</v>
      </c>
      <c r="K4372" s="131">
        <f t="shared" si="257"/>
        <v>57.69</v>
      </c>
      <c r="L4372" s="134">
        <v>0.1792</v>
      </c>
    </row>
    <row r="4373" spans="3:12">
      <c r="C4373" s="161">
        <f t="shared" si="255"/>
        <v>2017</v>
      </c>
      <c r="D4373" s="35" t="s">
        <v>325</v>
      </c>
      <c r="E4373" s="227">
        <v>42856</v>
      </c>
      <c r="F4373" s="156">
        <v>63371.93</v>
      </c>
      <c r="G4373" s="131">
        <f t="shared" si="256"/>
        <v>11356.249856</v>
      </c>
      <c r="H4373" s="156">
        <v>73.739999999999995</v>
      </c>
      <c r="I4373" s="156">
        <v>0</v>
      </c>
      <c r="J4373" s="156">
        <v>0</v>
      </c>
      <c r="K4373" s="131">
        <f t="shared" si="257"/>
        <v>73.739999999999995</v>
      </c>
      <c r="L4373" s="134">
        <v>0.1792</v>
      </c>
    </row>
    <row r="4374" spans="3:12">
      <c r="C4374" s="161">
        <f t="shared" si="255"/>
        <v>2017</v>
      </c>
      <c r="D4374" s="35" t="s">
        <v>325</v>
      </c>
      <c r="E4374" s="227">
        <v>42887</v>
      </c>
      <c r="F4374" s="156">
        <v>60282.47</v>
      </c>
      <c r="G4374" s="131">
        <f t="shared" si="256"/>
        <v>10802.618624000001</v>
      </c>
      <c r="H4374" s="156">
        <v>769.26</v>
      </c>
      <c r="I4374" s="156">
        <v>0</v>
      </c>
      <c r="J4374" s="156">
        <v>0</v>
      </c>
      <c r="K4374" s="131">
        <f t="shared" si="257"/>
        <v>769.26</v>
      </c>
      <c r="L4374" s="134">
        <v>0.1792</v>
      </c>
    </row>
    <row r="4375" spans="3:12">
      <c r="C4375" s="161">
        <f t="shared" si="255"/>
        <v>2017</v>
      </c>
      <c r="D4375" s="35" t="s">
        <v>325</v>
      </c>
      <c r="E4375" s="227">
        <v>42917</v>
      </c>
      <c r="F4375" s="156">
        <v>64520.06</v>
      </c>
      <c r="G4375" s="131">
        <f t="shared" si="256"/>
        <v>11561.994751999999</v>
      </c>
      <c r="H4375" s="156">
        <v>0</v>
      </c>
      <c r="I4375" s="156">
        <v>0</v>
      </c>
      <c r="J4375" s="156">
        <v>0</v>
      </c>
      <c r="K4375" s="131">
        <f t="shared" si="257"/>
        <v>0</v>
      </c>
      <c r="L4375" s="134">
        <v>0.1792</v>
      </c>
    </row>
    <row r="4376" spans="3:12">
      <c r="C4376" s="161">
        <f t="shared" si="255"/>
        <v>2017</v>
      </c>
      <c r="D4376" s="35" t="s">
        <v>325</v>
      </c>
      <c r="E4376" s="227">
        <v>42948</v>
      </c>
      <c r="F4376" s="156">
        <v>73186.149999999994</v>
      </c>
      <c r="G4376" s="131">
        <f t="shared" si="256"/>
        <v>13114.958079999999</v>
      </c>
      <c r="H4376" s="156">
        <v>173.33</v>
      </c>
      <c r="I4376" s="156">
        <v>0</v>
      </c>
      <c r="J4376" s="156">
        <v>0</v>
      </c>
      <c r="K4376" s="131">
        <f t="shared" si="257"/>
        <v>173.33</v>
      </c>
      <c r="L4376" s="134">
        <v>0.1792</v>
      </c>
    </row>
    <row r="4377" spans="3:12">
      <c r="C4377" s="161">
        <f t="shared" si="255"/>
        <v>2017</v>
      </c>
      <c r="D4377" s="35" t="s">
        <v>325</v>
      </c>
      <c r="E4377" s="227">
        <v>42979</v>
      </c>
      <c r="F4377" s="156">
        <v>67719.839999999997</v>
      </c>
      <c r="G4377" s="131">
        <f t="shared" si="256"/>
        <v>12135.395327999999</v>
      </c>
      <c r="H4377" s="156">
        <v>113.28</v>
      </c>
      <c r="I4377" s="156">
        <v>0</v>
      </c>
      <c r="J4377" s="156">
        <v>0</v>
      </c>
      <c r="K4377" s="131">
        <f t="shared" si="257"/>
        <v>113.28</v>
      </c>
      <c r="L4377" s="134">
        <v>0.1792</v>
      </c>
    </row>
    <row r="4378" spans="3:12">
      <c r="C4378" s="161">
        <f t="shared" si="255"/>
        <v>2017</v>
      </c>
      <c r="D4378" s="35" t="s">
        <v>325</v>
      </c>
      <c r="E4378" s="227">
        <v>43009</v>
      </c>
      <c r="F4378" s="156">
        <v>72091.429999999993</v>
      </c>
      <c r="G4378" s="131">
        <f t="shared" si="256"/>
        <v>12918.784255999999</v>
      </c>
      <c r="H4378" s="156">
        <v>311.19</v>
      </c>
      <c r="I4378" s="156">
        <v>0</v>
      </c>
      <c r="J4378" s="156">
        <v>0</v>
      </c>
      <c r="K4378" s="131">
        <f t="shared" si="257"/>
        <v>311.19</v>
      </c>
      <c r="L4378" s="134">
        <v>0.1792</v>
      </c>
    </row>
    <row r="4379" spans="3:12">
      <c r="C4379" s="161">
        <f t="shared" si="255"/>
        <v>2017</v>
      </c>
      <c r="D4379" s="35" t="s">
        <v>325</v>
      </c>
      <c r="E4379" s="227">
        <v>43040</v>
      </c>
      <c r="F4379" s="156">
        <v>71073.73</v>
      </c>
      <c r="G4379" s="131">
        <f t="shared" si="256"/>
        <v>12736.412415999999</v>
      </c>
      <c r="H4379" s="156">
        <v>210.31</v>
      </c>
      <c r="I4379" s="156">
        <v>0</v>
      </c>
      <c r="J4379" s="156">
        <v>0</v>
      </c>
      <c r="K4379" s="131">
        <f t="shared" si="257"/>
        <v>210.31</v>
      </c>
      <c r="L4379" s="134">
        <v>0.1792</v>
      </c>
    </row>
    <row r="4380" spans="3:12">
      <c r="C4380" s="161">
        <f t="shared" si="255"/>
        <v>2017</v>
      </c>
      <c r="D4380" s="35" t="s">
        <v>325</v>
      </c>
      <c r="E4380" s="227">
        <v>43070</v>
      </c>
      <c r="F4380" s="156">
        <v>73827.100000000006</v>
      </c>
      <c r="G4380" s="131">
        <f t="shared" si="256"/>
        <v>13229.816320000002</v>
      </c>
      <c r="H4380" s="156">
        <v>219.35</v>
      </c>
      <c r="I4380" s="156">
        <v>0</v>
      </c>
      <c r="J4380" s="156">
        <v>0</v>
      </c>
      <c r="K4380" s="131">
        <f t="shared" si="257"/>
        <v>219.35</v>
      </c>
      <c r="L4380" s="134">
        <v>0.1792</v>
      </c>
    </row>
    <row r="4381" spans="3:12">
      <c r="C4381" s="161">
        <f t="shared" si="255"/>
        <v>2018</v>
      </c>
      <c r="D4381" s="35" t="s">
        <v>325</v>
      </c>
      <c r="E4381" s="227">
        <v>43101</v>
      </c>
      <c r="F4381" s="156">
        <v>76301.33</v>
      </c>
      <c r="G4381" s="131">
        <f t="shared" si="256"/>
        <v>13673.198335999999</v>
      </c>
      <c r="H4381" s="156">
        <v>0</v>
      </c>
      <c r="I4381" s="156">
        <v>0</v>
      </c>
      <c r="J4381" s="156">
        <v>0</v>
      </c>
      <c r="K4381" s="131">
        <f t="shared" si="257"/>
        <v>0</v>
      </c>
      <c r="L4381" s="134">
        <v>0.1792</v>
      </c>
    </row>
    <row r="4382" spans="3:12">
      <c r="C4382" s="161">
        <f t="shared" si="255"/>
        <v>2018</v>
      </c>
      <c r="D4382" s="35" t="s">
        <v>325</v>
      </c>
      <c r="E4382" s="227">
        <v>43132</v>
      </c>
      <c r="F4382" s="156">
        <v>73204.22</v>
      </c>
      <c r="G4382" s="131">
        <f t="shared" si="256"/>
        <v>13118.196223999999</v>
      </c>
      <c r="H4382" s="156">
        <v>450.22</v>
      </c>
      <c r="I4382" s="156">
        <v>0</v>
      </c>
      <c r="J4382" s="156">
        <v>0</v>
      </c>
      <c r="K4382" s="131">
        <f t="shared" si="257"/>
        <v>450.22</v>
      </c>
      <c r="L4382" s="134">
        <v>0.1792</v>
      </c>
    </row>
    <row r="4383" spans="3:12">
      <c r="C4383" s="161">
        <f t="shared" si="255"/>
        <v>2018</v>
      </c>
      <c r="D4383" s="35" t="s">
        <v>325</v>
      </c>
      <c r="E4383" s="227">
        <v>43160</v>
      </c>
      <c r="F4383" s="156">
        <v>69321.570000000007</v>
      </c>
      <c r="G4383" s="131">
        <f t="shared" si="256"/>
        <v>12422.425344000001</v>
      </c>
      <c r="H4383" s="156">
        <v>361.51</v>
      </c>
      <c r="I4383" s="156">
        <v>0</v>
      </c>
      <c r="J4383" s="156">
        <v>0</v>
      </c>
      <c r="K4383" s="131">
        <f t="shared" si="257"/>
        <v>361.51</v>
      </c>
      <c r="L4383" s="134">
        <v>0.1792</v>
      </c>
    </row>
    <row r="4384" spans="3:12">
      <c r="C4384" s="161">
        <f t="shared" si="255"/>
        <v>2018</v>
      </c>
      <c r="D4384" s="35" t="s">
        <v>325</v>
      </c>
      <c r="E4384" s="227">
        <v>43191</v>
      </c>
      <c r="F4384" s="156">
        <v>76088.09</v>
      </c>
      <c r="G4384" s="131">
        <f t="shared" si="256"/>
        <v>13634.985728</v>
      </c>
      <c r="H4384" s="156">
        <v>141.46</v>
      </c>
      <c r="I4384" s="156">
        <v>0</v>
      </c>
      <c r="J4384" s="156">
        <v>0</v>
      </c>
      <c r="K4384" s="131">
        <f t="shared" si="257"/>
        <v>141.46</v>
      </c>
      <c r="L4384" s="134">
        <v>0.1792</v>
      </c>
    </row>
    <row r="4385" spans="3:12">
      <c r="C4385" s="161">
        <f t="shared" si="255"/>
        <v>2018</v>
      </c>
      <c r="D4385" s="35" t="s">
        <v>325</v>
      </c>
      <c r="E4385" s="227">
        <v>43221</v>
      </c>
      <c r="F4385" s="156">
        <v>82061.89</v>
      </c>
      <c r="G4385" s="131">
        <f t="shared" si="256"/>
        <v>14705.490688</v>
      </c>
      <c r="H4385" s="156">
        <v>768.5</v>
      </c>
      <c r="I4385" s="156">
        <v>0</v>
      </c>
      <c r="J4385" s="156">
        <v>0</v>
      </c>
      <c r="K4385" s="131">
        <f t="shared" si="257"/>
        <v>768.5</v>
      </c>
      <c r="L4385" s="134">
        <v>0.1792</v>
      </c>
    </row>
    <row r="4386" spans="3:12">
      <c r="C4386" s="161">
        <f t="shared" si="255"/>
        <v>2018</v>
      </c>
      <c r="D4386" s="35" t="s">
        <v>325</v>
      </c>
      <c r="E4386" s="227">
        <v>43252</v>
      </c>
      <c r="F4386" s="156">
        <v>75320.52</v>
      </c>
      <c r="G4386" s="131">
        <f t="shared" si="256"/>
        <v>13497.437184</v>
      </c>
      <c r="H4386" s="156">
        <v>89.96</v>
      </c>
      <c r="I4386" s="156">
        <v>0</v>
      </c>
      <c r="J4386" s="156">
        <v>0</v>
      </c>
      <c r="K4386" s="131">
        <f t="shared" si="257"/>
        <v>89.96</v>
      </c>
      <c r="L4386" s="134">
        <v>0.1792</v>
      </c>
    </row>
    <row r="4387" spans="3:12">
      <c r="C4387" s="161">
        <f t="shared" si="255"/>
        <v>2018</v>
      </c>
      <c r="D4387" s="35" t="s">
        <v>325</v>
      </c>
      <c r="E4387" s="227">
        <v>43282</v>
      </c>
      <c r="F4387" s="156">
        <v>69378.960000000006</v>
      </c>
      <c r="G4387" s="131">
        <f t="shared" si="256"/>
        <v>12432.709632000002</v>
      </c>
      <c r="H4387" s="156">
        <v>314.22000000000003</v>
      </c>
      <c r="I4387" s="156">
        <v>0</v>
      </c>
      <c r="J4387" s="156">
        <v>0</v>
      </c>
      <c r="K4387" s="131">
        <f t="shared" si="257"/>
        <v>314.22000000000003</v>
      </c>
      <c r="L4387" s="134">
        <v>0.1792</v>
      </c>
    </row>
    <row r="4388" spans="3:12">
      <c r="C4388" s="161">
        <f t="shared" si="255"/>
        <v>2018</v>
      </c>
      <c r="D4388" s="35" t="s">
        <v>325</v>
      </c>
      <c r="E4388" s="227">
        <v>43313</v>
      </c>
      <c r="F4388" s="156">
        <v>76143.61</v>
      </c>
      <c r="G4388" s="131">
        <f t="shared" si="256"/>
        <v>13644.934912000001</v>
      </c>
      <c r="H4388" s="156">
        <v>361.32</v>
      </c>
      <c r="I4388" s="156">
        <v>0</v>
      </c>
      <c r="J4388" s="156">
        <v>0</v>
      </c>
      <c r="K4388" s="131">
        <f t="shared" si="257"/>
        <v>361.32</v>
      </c>
      <c r="L4388" s="134">
        <v>0.1792</v>
      </c>
    </row>
    <row r="4389" spans="3:12">
      <c r="C4389" s="161">
        <f t="shared" si="255"/>
        <v>2018</v>
      </c>
      <c r="D4389" s="35" t="s">
        <v>325</v>
      </c>
      <c r="E4389" s="227">
        <v>43344</v>
      </c>
      <c r="F4389" s="156">
        <v>74625.48</v>
      </c>
      <c r="G4389" s="131">
        <f t="shared" si="256"/>
        <v>13372.886015999999</v>
      </c>
      <c r="H4389" s="156">
        <v>122.86</v>
      </c>
      <c r="I4389" s="156">
        <v>0</v>
      </c>
      <c r="J4389" s="156">
        <v>0</v>
      </c>
      <c r="K4389" s="131">
        <f t="shared" si="257"/>
        <v>122.86</v>
      </c>
      <c r="L4389" s="134">
        <v>0.1792</v>
      </c>
    </row>
    <row r="4390" spans="3:12">
      <c r="C4390" s="161">
        <f t="shared" si="255"/>
        <v>2018</v>
      </c>
      <c r="D4390" s="35" t="s">
        <v>325</v>
      </c>
      <c r="E4390" s="227">
        <v>43374</v>
      </c>
      <c r="F4390" s="156">
        <v>72283.34</v>
      </c>
      <c r="G4390" s="131">
        <f t="shared" si="256"/>
        <v>12953.174528</v>
      </c>
      <c r="H4390" s="156">
        <v>262.38</v>
      </c>
      <c r="I4390" s="156">
        <v>0</v>
      </c>
      <c r="J4390" s="156">
        <v>0</v>
      </c>
      <c r="K4390" s="131">
        <f t="shared" si="257"/>
        <v>262.38</v>
      </c>
      <c r="L4390" s="134">
        <v>0.1792</v>
      </c>
    </row>
    <row r="4391" spans="3:12">
      <c r="C4391" s="161">
        <f t="shared" si="255"/>
        <v>2018</v>
      </c>
      <c r="D4391" s="35" t="s">
        <v>325</v>
      </c>
      <c r="E4391" s="227">
        <v>43405</v>
      </c>
      <c r="F4391" s="156">
        <v>82500.643500000006</v>
      </c>
      <c r="G4391" s="131">
        <f t="shared" si="256"/>
        <v>14784.115315200001</v>
      </c>
      <c r="H4391" s="156">
        <v>12.94</v>
      </c>
      <c r="I4391" s="156">
        <v>0</v>
      </c>
      <c r="J4391" s="156">
        <v>0</v>
      </c>
      <c r="K4391" s="131">
        <f t="shared" si="257"/>
        <v>12.94</v>
      </c>
      <c r="L4391" s="134">
        <v>0.1792</v>
      </c>
    </row>
    <row r="4392" spans="3:12">
      <c r="C4392" s="161">
        <f t="shared" si="255"/>
        <v>2018</v>
      </c>
      <c r="D4392" s="35" t="s">
        <v>325</v>
      </c>
      <c r="E4392" s="227">
        <v>43435</v>
      </c>
      <c r="F4392" s="156">
        <v>83082.570000000007</v>
      </c>
      <c r="G4392" s="131">
        <f t="shared" si="256"/>
        <v>14888.396544000001</v>
      </c>
      <c r="H4392" s="156">
        <v>192.26</v>
      </c>
      <c r="I4392" s="156">
        <v>0</v>
      </c>
      <c r="J4392" s="156">
        <v>0</v>
      </c>
      <c r="K4392" s="131">
        <f t="shared" si="257"/>
        <v>192.26</v>
      </c>
      <c r="L4392" s="134">
        <v>0.1792</v>
      </c>
    </row>
    <row r="4393" spans="3:12">
      <c r="C4393" s="161">
        <f t="shared" si="255"/>
        <v>2019</v>
      </c>
      <c r="D4393" s="35" t="s">
        <v>325</v>
      </c>
      <c r="E4393" s="227">
        <v>43466</v>
      </c>
      <c r="F4393" s="156">
        <v>81306.600000000006</v>
      </c>
      <c r="G4393" s="131">
        <f t="shared" si="256"/>
        <v>14570.142720000002</v>
      </c>
      <c r="H4393" s="156">
        <v>0</v>
      </c>
      <c r="I4393" s="156">
        <v>0</v>
      </c>
      <c r="J4393" s="156">
        <v>0</v>
      </c>
      <c r="K4393" s="131">
        <f t="shared" si="257"/>
        <v>0</v>
      </c>
      <c r="L4393" s="134">
        <v>0.1792</v>
      </c>
    </row>
    <row r="4394" spans="3:12">
      <c r="C4394" s="161">
        <f t="shared" si="255"/>
        <v>2019</v>
      </c>
      <c r="D4394" s="35" t="s">
        <v>325</v>
      </c>
      <c r="E4394" s="227">
        <v>43497</v>
      </c>
      <c r="F4394" s="156">
        <v>82415.14</v>
      </c>
      <c r="G4394" s="131">
        <f t="shared" si="256"/>
        <v>14768.793088</v>
      </c>
      <c r="H4394" s="156">
        <v>649.65</v>
      </c>
      <c r="I4394" s="156">
        <v>0</v>
      </c>
      <c r="J4394" s="156">
        <v>0</v>
      </c>
      <c r="K4394" s="131">
        <f t="shared" si="257"/>
        <v>649.65</v>
      </c>
      <c r="L4394" s="134">
        <v>0.1792</v>
      </c>
    </row>
    <row r="4395" spans="3:12">
      <c r="C4395" s="161">
        <f t="shared" si="255"/>
        <v>2019</v>
      </c>
      <c r="D4395" s="35" t="s">
        <v>325</v>
      </c>
      <c r="E4395" s="227">
        <v>43525</v>
      </c>
      <c r="F4395" s="156">
        <v>71336.539999999994</v>
      </c>
      <c r="G4395" s="131">
        <f t="shared" si="256"/>
        <v>12783.507967999998</v>
      </c>
      <c r="H4395" s="156">
        <v>112.17</v>
      </c>
      <c r="I4395" s="156">
        <v>0</v>
      </c>
      <c r="J4395" s="156">
        <v>0</v>
      </c>
      <c r="K4395" s="131">
        <f t="shared" si="257"/>
        <v>112.17</v>
      </c>
      <c r="L4395" s="134">
        <v>0.1792</v>
      </c>
    </row>
    <row r="4396" spans="3:12">
      <c r="C4396" s="161">
        <f t="shared" si="255"/>
        <v>2019</v>
      </c>
      <c r="D4396" s="35" t="s">
        <v>325</v>
      </c>
      <c r="E4396" s="227">
        <v>43556</v>
      </c>
      <c r="F4396" s="156">
        <v>76728.58</v>
      </c>
      <c r="G4396" s="131">
        <f t="shared" si="256"/>
        <v>13749.761536</v>
      </c>
      <c r="H4396" s="156">
        <v>217.62</v>
      </c>
      <c r="I4396" s="156">
        <v>0</v>
      </c>
      <c r="J4396" s="156">
        <v>0</v>
      </c>
      <c r="K4396" s="131">
        <f t="shared" si="257"/>
        <v>217.62</v>
      </c>
      <c r="L4396" s="134">
        <v>0.1792</v>
      </c>
    </row>
    <row r="4397" spans="3:12">
      <c r="C4397" s="161">
        <f t="shared" si="255"/>
        <v>2019</v>
      </c>
      <c r="D4397" s="35" t="s">
        <v>325</v>
      </c>
      <c r="E4397" s="227">
        <v>43586</v>
      </c>
      <c r="F4397" s="156">
        <v>81146.75</v>
      </c>
      <c r="G4397" s="131">
        <f t="shared" si="256"/>
        <v>14541.497600000001</v>
      </c>
      <c r="H4397" s="156">
        <v>13555.04</v>
      </c>
      <c r="I4397" s="156">
        <v>0</v>
      </c>
      <c r="J4397" s="156">
        <v>0</v>
      </c>
      <c r="K4397" s="131">
        <f t="shared" si="257"/>
        <v>13555.04</v>
      </c>
      <c r="L4397" s="134">
        <v>0.1792</v>
      </c>
    </row>
    <row r="4398" spans="3:12">
      <c r="C4398" s="161">
        <f t="shared" si="255"/>
        <v>2019</v>
      </c>
      <c r="D4398" s="35" t="s">
        <v>325</v>
      </c>
      <c r="E4398" s="227">
        <v>43617</v>
      </c>
      <c r="F4398" s="156">
        <v>71639.59</v>
      </c>
      <c r="G4398" s="131">
        <f t="shared" si="256"/>
        <v>12837.814527999999</v>
      </c>
      <c r="H4398" s="156">
        <v>376.27</v>
      </c>
      <c r="I4398" s="156">
        <v>0</v>
      </c>
      <c r="J4398" s="156">
        <v>0</v>
      </c>
      <c r="K4398" s="131">
        <f t="shared" si="257"/>
        <v>376.27</v>
      </c>
      <c r="L4398" s="134">
        <v>0.1792</v>
      </c>
    </row>
    <row r="4399" spans="3:12">
      <c r="C4399" s="161">
        <f t="shared" si="255"/>
        <v>2019</v>
      </c>
      <c r="D4399" s="35" t="s">
        <v>325</v>
      </c>
      <c r="E4399" s="227">
        <v>43647</v>
      </c>
      <c r="F4399" s="156">
        <v>72817.679999999993</v>
      </c>
      <c r="G4399" s="131">
        <f t="shared" si="256"/>
        <v>13048.928255999999</v>
      </c>
      <c r="H4399" s="156">
        <v>415.09</v>
      </c>
      <c r="I4399" s="156">
        <v>0</v>
      </c>
      <c r="J4399" s="156">
        <v>0</v>
      </c>
      <c r="K4399" s="131">
        <f t="shared" si="257"/>
        <v>415.09</v>
      </c>
      <c r="L4399" s="134">
        <v>0.1792</v>
      </c>
    </row>
    <row r="4400" spans="3:12">
      <c r="C4400" s="161">
        <f t="shared" si="255"/>
        <v>2019</v>
      </c>
      <c r="D4400" s="35" t="s">
        <v>325</v>
      </c>
      <c r="E4400" s="227">
        <v>43678</v>
      </c>
      <c r="F4400" s="156">
        <v>79145.789999999994</v>
      </c>
      <c r="G4400" s="131">
        <f t="shared" si="256"/>
        <v>14182.925567999999</v>
      </c>
      <c r="H4400" s="156">
        <v>650.58000000000004</v>
      </c>
      <c r="I4400" s="156">
        <v>0</v>
      </c>
      <c r="J4400" s="156">
        <v>0</v>
      </c>
      <c r="K4400" s="131">
        <f t="shared" si="257"/>
        <v>650.58000000000004</v>
      </c>
      <c r="L4400" s="134">
        <v>0.1792</v>
      </c>
    </row>
    <row r="4401" spans="3:12">
      <c r="C4401" s="161">
        <f t="shared" si="255"/>
        <v>2019</v>
      </c>
      <c r="D4401" s="35" t="s">
        <v>325</v>
      </c>
      <c r="E4401" s="227">
        <v>43709</v>
      </c>
      <c r="F4401" s="156">
        <v>84917.23</v>
      </c>
      <c r="G4401" s="131">
        <f t="shared" si="256"/>
        <v>15217.167615999999</v>
      </c>
      <c r="H4401" s="156">
        <v>349.06</v>
      </c>
      <c r="I4401" s="156">
        <v>0</v>
      </c>
      <c r="J4401" s="156">
        <v>0</v>
      </c>
      <c r="K4401" s="131">
        <f t="shared" si="257"/>
        <v>349.06</v>
      </c>
      <c r="L4401" s="134">
        <v>0.1792</v>
      </c>
    </row>
    <row r="4402" spans="3:12">
      <c r="C4402" s="161">
        <f t="shared" si="255"/>
        <v>2019</v>
      </c>
      <c r="D4402" s="35" t="s">
        <v>325</v>
      </c>
      <c r="E4402" s="227">
        <v>43739</v>
      </c>
      <c r="F4402" s="156">
        <v>82403.72</v>
      </c>
      <c r="G4402" s="131">
        <f t="shared" si="256"/>
        <v>14766.746623999999</v>
      </c>
      <c r="H4402" s="156">
        <v>275.08999999999997</v>
      </c>
      <c r="I4402" s="156">
        <v>0</v>
      </c>
      <c r="J4402" s="156">
        <v>0</v>
      </c>
      <c r="K4402" s="131">
        <f t="shared" si="257"/>
        <v>275.08999999999997</v>
      </c>
      <c r="L4402" s="134">
        <v>0.1792</v>
      </c>
    </row>
    <row r="4403" spans="3:12">
      <c r="C4403" s="161">
        <f t="shared" si="255"/>
        <v>2019</v>
      </c>
      <c r="D4403" s="35" t="s">
        <v>325</v>
      </c>
      <c r="E4403" s="227">
        <v>43770</v>
      </c>
      <c r="F4403" s="156">
        <v>90163.14</v>
      </c>
      <c r="G4403" s="131">
        <f t="shared" si="256"/>
        <v>16157.234688</v>
      </c>
      <c r="H4403" s="156">
        <v>281.2</v>
      </c>
      <c r="I4403" s="156">
        <v>0</v>
      </c>
      <c r="J4403" s="156">
        <v>0</v>
      </c>
      <c r="K4403" s="131">
        <f t="shared" si="257"/>
        <v>281.2</v>
      </c>
      <c r="L4403" s="134">
        <v>0.1792</v>
      </c>
    </row>
    <row r="4404" spans="3:12">
      <c r="C4404" s="161">
        <f t="shared" si="255"/>
        <v>2019</v>
      </c>
      <c r="D4404" s="35" t="s">
        <v>325</v>
      </c>
      <c r="E4404" s="227">
        <v>43800</v>
      </c>
      <c r="F4404" s="156">
        <v>79933.75</v>
      </c>
      <c r="G4404" s="131">
        <f t="shared" si="256"/>
        <v>14324.128000000001</v>
      </c>
      <c r="H4404" s="156">
        <v>4038.86</v>
      </c>
      <c r="I4404" s="156">
        <v>0</v>
      </c>
      <c r="J4404" s="156">
        <v>0</v>
      </c>
      <c r="K4404" s="131">
        <f t="shared" si="257"/>
        <v>4038.86</v>
      </c>
      <c r="L4404" s="134">
        <v>0.1792</v>
      </c>
    </row>
    <row r="4405" spans="3:12">
      <c r="C4405" s="161">
        <f t="shared" si="255"/>
        <v>2020</v>
      </c>
      <c r="D4405" s="35" t="s">
        <v>325</v>
      </c>
      <c r="E4405" s="227">
        <v>43831</v>
      </c>
      <c r="F4405" s="156">
        <v>85984.36</v>
      </c>
      <c r="G4405" s="131">
        <f t="shared" si="256"/>
        <v>15408.397311999999</v>
      </c>
      <c r="H4405" s="156">
        <v>0</v>
      </c>
      <c r="I4405" s="156">
        <v>0</v>
      </c>
      <c r="J4405" s="156">
        <v>0</v>
      </c>
      <c r="K4405" s="131">
        <f t="shared" si="257"/>
        <v>0</v>
      </c>
      <c r="L4405" s="134">
        <v>0.1792</v>
      </c>
    </row>
    <row r="4406" spans="3:12">
      <c r="C4406" s="161">
        <f t="shared" si="255"/>
        <v>2020</v>
      </c>
      <c r="D4406" s="35" t="s">
        <v>325</v>
      </c>
      <c r="E4406" s="227">
        <v>43862</v>
      </c>
      <c r="F4406" s="156">
        <v>81251.25</v>
      </c>
      <c r="G4406" s="131">
        <f t="shared" si="256"/>
        <v>14560.224</v>
      </c>
      <c r="H4406" s="156">
        <v>384.37</v>
      </c>
      <c r="I4406" s="156">
        <v>0</v>
      </c>
      <c r="J4406" s="156">
        <v>0</v>
      </c>
      <c r="K4406" s="131">
        <f t="shared" si="257"/>
        <v>384.37</v>
      </c>
      <c r="L4406" s="134">
        <v>0.1792</v>
      </c>
    </row>
    <row r="4407" spans="3:12">
      <c r="C4407" s="161">
        <f t="shared" si="255"/>
        <v>2020</v>
      </c>
      <c r="D4407" s="35" t="s">
        <v>325</v>
      </c>
      <c r="E4407" s="227">
        <v>43891</v>
      </c>
      <c r="F4407" s="156">
        <v>81214.416524999993</v>
      </c>
      <c r="G4407" s="131">
        <f t="shared" si="256"/>
        <v>14553.623441279999</v>
      </c>
      <c r="H4407" s="156">
        <v>1128.8800000000001</v>
      </c>
      <c r="I4407" s="156">
        <v>0</v>
      </c>
      <c r="J4407" s="156">
        <v>0</v>
      </c>
      <c r="K4407" s="131">
        <f t="shared" si="257"/>
        <v>1128.8800000000001</v>
      </c>
      <c r="L4407" s="134">
        <v>0.1792</v>
      </c>
    </row>
    <row r="4408" spans="3:12">
      <c r="C4408" s="161">
        <f t="shared" si="255"/>
        <v>2020</v>
      </c>
      <c r="D4408" s="35" t="s">
        <v>325</v>
      </c>
      <c r="E4408" s="227">
        <v>43922</v>
      </c>
      <c r="F4408" s="156">
        <v>86459.603174999997</v>
      </c>
      <c r="G4408" s="131">
        <f t="shared" si="256"/>
        <v>15493.560888959999</v>
      </c>
      <c r="H4408" s="156">
        <v>61.16</v>
      </c>
      <c r="I4408" s="156">
        <v>0</v>
      </c>
      <c r="J4408" s="156">
        <v>0</v>
      </c>
      <c r="K4408" s="131">
        <f t="shared" si="257"/>
        <v>61.16</v>
      </c>
      <c r="L4408" s="134">
        <v>0.1792</v>
      </c>
    </row>
    <row r="4409" spans="3:12">
      <c r="C4409" s="161">
        <f t="shared" si="255"/>
        <v>2020</v>
      </c>
      <c r="D4409" s="35" t="s">
        <v>325</v>
      </c>
      <c r="E4409" s="227">
        <v>43952</v>
      </c>
      <c r="F4409" s="156">
        <v>79190.8</v>
      </c>
      <c r="G4409" s="131">
        <f t="shared" si="256"/>
        <v>14190.99136</v>
      </c>
      <c r="H4409" s="156">
        <v>248.3</v>
      </c>
      <c r="I4409" s="156">
        <v>0</v>
      </c>
      <c r="J4409" s="156">
        <v>0</v>
      </c>
      <c r="K4409" s="131">
        <f t="shared" si="257"/>
        <v>248.3</v>
      </c>
      <c r="L4409" s="134">
        <v>0.1792</v>
      </c>
    </row>
    <row r="4410" spans="3:12">
      <c r="C4410" s="161">
        <f t="shared" si="255"/>
        <v>2020</v>
      </c>
      <c r="D4410" s="35" t="s">
        <v>325</v>
      </c>
      <c r="E4410" s="227">
        <v>43983</v>
      </c>
      <c r="F4410" s="156">
        <v>75877.67</v>
      </c>
      <c r="G4410" s="131">
        <f t="shared" si="256"/>
        <v>13597.278463999999</v>
      </c>
      <c r="H4410" s="156">
        <v>1087.3699999999999</v>
      </c>
      <c r="I4410" s="156">
        <v>0</v>
      </c>
      <c r="J4410" s="156">
        <v>0</v>
      </c>
      <c r="K4410" s="131">
        <f t="shared" si="257"/>
        <v>1087.3699999999999</v>
      </c>
      <c r="L4410" s="134">
        <v>0.1792</v>
      </c>
    </row>
    <row r="4411" spans="3:12">
      <c r="C4411" s="161">
        <f t="shared" si="255"/>
        <v>2020</v>
      </c>
      <c r="D4411" s="35" t="s">
        <v>325</v>
      </c>
      <c r="E4411" s="227">
        <v>44013</v>
      </c>
      <c r="F4411" s="156">
        <v>77087.759999999995</v>
      </c>
      <c r="G4411" s="131">
        <f t="shared" si="256"/>
        <v>13814.126591999999</v>
      </c>
      <c r="H4411" s="156">
        <v>557.34</v>
      </c>
      <c r="I4411" s="156">
        <v>0</v>
      </c>
      <c r="J4411" s="156">
        <v>0</v>
      </c>
      <c r="K4411" s="131">
        <f t="shared" si="257"/>
        <v>557.34</v>
      </c>
      <c r="L4411" s="134">
        <v>0.1792</v>
      </c>
    </row>
    <row r="4412" spans="3:12">
      <c r="C4412" s="161">
        <f t="shared" si="255"/>
        <v>2020</v>
      </c>
      <c r="D4412" s="35" t="s">
        <v>325</v>
      </c>
      <c r="E4412" s="227">
        <v>44044</v>
      </c>
      <c r="F4412" s="156">
        <v>84328.639999999999</v>
      </c>
      <c r="G4412" s="131">
        <f t="shared" si="256"/>
        <v>15111.692288</v>
      </c>
      <c r="H4412" s="156">
        <v>562.65</v>
      </c>
      <c r="I4412" s="156">
        <v>0</v>
      </c>
      <c r="J4412" s="156">
        <v>0</v>
      </c>
      <c r="K4412" s="131">
        <f t="shared" si="257"/>
        <v>562.65</v>
      </c>
      <c r="L4412" s="134">
        <v>0.1792</v>
      </c>
    </row>
    <row r="4413" spans="3:12">
      <c r="C4413" s="161">
        <f t="shared" si="255"/>
        <v>2020</v>
      </c>
      <c r="D4413" s="35" t="s">
        <v>325</v>
      </c>
      <c r="E4413" s="227">
        <v>44075</v>
      </c>
      <c r="F4413" s="156">
        <v>85993.96</v>
      </c>
      <c r="G4413" s="131">
        <f t="shared" si="256"/>
        <v>15410.117632000001</v>
      </c>
      <c r="H4413" s="156">
        <v>1443.94</v>
      </c>
      <c r="I4413" s="156">
        <v>0</v>
      </c>
      <c r="J4413" s="156">
        <v>0</v>
      </c>
      <c r="K4413" s="131">
        <f t="shared" si="257"/>
        <v>1443.94</v>
      </c>
      <c r="L4413" s="134">
        <v>0.1792</v>
      </c>
    </row>
    <row r="4414" spans="3:12">
      <c r="C4414" s="161">
        <f t="shared" si="255"/>
        <v>2020</v>
      </c>
      <c r="D4414" s="35" t="s">
        <v>325</v>
      </c>
      <c r="E4414" s="227">
        <v>44105</v>
      </c>
      <c r="F4414" s="156">
        <v>94532.94</v>
      </c>
      <c r="G4414" s="131">
        <f t="shared" si="256"/>
        <v>16940.302847999999</v>
      </c>
      <c r="H4414" s="156">
        <v>15989.31</v>
      </c>
      <c r="I4414" s="156">
        <v>0</v>
      </c>
      <c r="J4414" s="156">
        <v>0</v>
      </c>
      <c r="K4414" s="131">
        <f t="shared" si="257"/>
        <v>15989.31</v>
      </c>
      <c r="L4414" s="134">
        <v>0.1792</v>
      </c>
    </row>
    <row r="4415" spans="3:12">
      <c r="C4415" s="161">
        <f t="shared" si="255"/>
        <v>2020</v>
      </c>
      <c r="D4415" s="35" t="s">
        <v>325</v>
      </c>
      <c r="E4415" s="227">
        <v>44136</v>
      </c>
      <c r="F4415" s="156">
        <v>87385.58</v>
      </c>
      <c r="G4415" s="131">
        <f t="shared" si="256"/>
        <v>15659.495935999999</v>
      </c>
      <c r="H4415" s="156">
        <v>1088.22</v>
      </c>
      <c r="I4415" s="156">
        <v>0</v>
      </c>
      <c r="J4415" s="156">
        <v>0</v>
      </c>
      <c r="K4415" s="131">
        <f t="shared" si="257"/>
        <v>1088.22</v>
      </c>
      <c r="L4415" s="134">
        <v>0.1792</v>
      </c>
    </row>
    <row r="4416" spans="3:12">
      <c r="C4416" s="161">
        <f t="shared" si="255"/>
        <v>2020</v>
      </c>
      <c r="D4416" s="35" t="s">
        <v>325</v>
      </c>
      <c r="E4416" s="227">
        <v>44166</v>
      </c>
      <c r="F4416" s="156">
        <v>90517.74</v>
      </c>
      <c r="G4416" s="131">
        <f t="shared" si="256"/>
        <v>16220.779008000001</v>
      </c>
      <c r="H4416" s="156">
        <v>57.28</v>
      </c>
      <c r="I4416" s="156">
        <v>0</v>
      </c>
      <c r="J4416" s="156">
        <v>0</v>
      </c>
      <c r="K4416" s="131">
        <f t="shared" si="257"/>
        <v>57.28</v>
      </c>
      <c r="L4416" s="134">
        <v>0.1792</v>
      </c>
    </row>
    <row r="4417" spans="3:12">
      <c r="C4417" s="161">
        <f t="shared" si="255"/>
        <v>2021</v>
      </c>
      <c r="D4417" s="35" t="s">
        <v>325</v>
      </c>
      <c r="E4417" s="227">
        <v>44197</v>
      </c>
      <c r="F4417" s="156">
        <v>93088.27</v>
      </c>
      <c r="G4417" s="131">
        <f t="shared" si="256"/>
        <v>16681.417984</v>
      </c>
      <c r="H4417" s="156">
        <v>290</v>
      </c>
      <c r="I4417" s="156">
        <v>0</v>
      </c>
      <c r="J4417" s="156">
        <v>0</v>
      </c>
      <c r="K4417" s="131">
        <f t="shared" si="257"/>
        <v>290</v>
      </c>
      <c r="L4417" s="134">
        <v>0.1792</v>
      </c>
    </row>
    <row r="4418" spans="3:12">
      <c r="C4418" s="161">
        <f t="shared" si="255"/>
        <v>2021</v>
      </c>
      <c r="D4418" s="35" t="s">
        <v>325</v>
      </c>
      <c r="E4418" s="227">
        <v>44229</v>
      </c>
      <c r="F4418" s="156">
        <v>85426.33</v>
      </c>
      <c r="G4418" s="131">
        <f t="shared" si="256"/>
        <v>15308.398336</v>
      </c>
      <c r="H4418" s="156">
        <v>1119.1300000000001</v>
      </c>
      <c r="I4418" s="156">
        <v>0</v>
      </c>
      <c r="J4418" s="156">
        <v>0</v>
      </c>
      <c r="K4418" s="131">
        <f t="shared" si="257"/>
        <v>1119.1300000000001</v>
      </c>
      <c r="L4418" s="134">
        <v>0.1792</v>
      </c>
    </row>
    <row r="4419" spans="3:12">
      <c r="C4419" s="161">
        <f t="shared" si="255"/>
        <v>2021</v>
      </c>
      <c r="D4419" s="35" t="s">
        <v>325</v>
      </c>
      <c r="E4419" s="227">
        <v>44258</v>
      </c>
      <c r="F4419" s="156">
        <v>82368.33</v>
      </c>
      <c r="G4419" s="131">
        <f t="shared" si="256"/>
        <v>14760.404736</v>
      </c>
      <c r="H4419" s="156">
        <v>288.66000000000003</v>
      </c>
      <c r="I4419" s="156">
        <v>0</v>
      </c>
      <c r="J4419" s="156">
        <v>0</v>
      </c>
      <c r="K4419" s="131">
        <f t="shared" si="257"/>
        <v>288.66000000000003</v>
      </c>
      <c r="L4419" s="134">
        <v>0.1792</v>
      </c>
    </row>
    <row r="4420" spans="3:12">
      <c r="C4420" s="161">
        <f t="shared" ref="C4420:C4483" si="258">YEAR(E4420)</f>
        <v>2021</v>
      </c>
      <c r="D4420" s="35" t="s">
        <v>325</v>
      </c>
      <c r="E4420" s="227">
        <v>44290</v>
      </c>
      <c r="F4420" s="156">
        <v>91040.92</v>
      </c>
      <c r="G4420" s="131">
        <f t="shared" ref="G4420:G4483" si="259">F4420*L4420</f>
        <v>16314.532863999999</v>
      </c>
      <c r="H4420" s="156">
        <v>188.49</v>
      </c>
      <c r="I4420" s="156">
        <v>0</v>
      </c>
      <c r="J4420" s="156">
        <v>0</v>
      </c>
      <c r="K4420" s="131">
        <f t="shared" ref="K4420:K4483" si="260">SUM(H4420:J4420)</f>
        <v>188.49</v>
      </c>
      <c r="L4420" s="134">
        <v>0.1792</v>
      </c>
    </row>
    <row r="4421" spans="3:12">
      <c r="C4421" s="161">
        <f t="shared" si="258"/>
        <v>2021</v>
      </c>
      <c r="D4421" s="35" t="s">
        <v>325</v>
      </c>
      <c r="E4421" s="227">
        <v>44321</v>
      </c>
      <c r="F4421" s="156">
        <v>85511.42</v>
      </c>
      <c r="G4421" s="131">
        <f t="shared" si="259"/>
        <v>15323.646463999999</v>
      </c>
      <c r="H4421" s="156">
        <v>320.56</v>
      </c>
      <c r="I4421" s="156">
        <v>0</v>
      </c>
      <c r="J4421" s="156">
        <v>2080</v>
      </c>
      <c r="K4421" s="131">
        <f t="shared" si="260"/>
        <v>2400.56</v>
      </c>
      <c r="L4421" s="134">
        <v>0.1792</v>
      </c>
    </row>
    <row r="4422" spans="3:12">
      <c r="C4422" s="161">
        <f t="shared" si="258"/>
        <v>2021</v>
      </c>
      <c r="D4422" s="35" t="s">
        <v>325</v>
      </c>
      <c r="E4422" s="227">
        <v>44353</v>
      </c>
      <c r="F4422" s="156">
        <v>79646.03</v>
      </c>
      <c r="G4422" s="131">
        <f t="shared" si="259"/>
        <v>14272.568576</v>
      </c>
      <c r="H4422" s="156">
        <v>797.09</v>
      </c>
      <c r="I4422" s="156">
        <v>0</v>
      </c>
      <c r="J4422" s="156">
        <v>0</v>
      </c>
      <c r="K4422" s="131">
        <f t="shared" si="260"/>
        <v>797.09</v>
      </c>
      <c r="L4422" s="134">
        <v>0.1792</v>
      </c>
    </row>
    <row r="4423" spans="3:12">
      <c r="C4423" s="161">
        <f t="shared" si="258"/>
        <v>2015</v>
      </c>
      <c r="D4423" s="35" t="s">
        <v>326</v>
      </c>
      <c r="E4423" s="227">
        <v>42309</v>
      </c>
      <c r="F4423" s="156">
        <v>217249.31</v>
      </c>
      <c r="G4423" s="131">
        <f t="shared" si="259"/>
        <v>38931.076351999996</v>
      </c>
      <c r="H4423" s="156">
        <v>27394</v>
      </c>
      <c r="I4423" s="156">
        <v>0</v>
      </c>
      <c r="J4423" s="156">
        <v>0</v>
      </c>
      <c r="K4423" s="131">
        <f t="shared" si="260"/>
        <v>27394</v>
      </c>
      <c r="L4423" s="134">
        <v>0.1792</v>
      </c>
    </row>
    <row r="4424" spans="3:12">
      <c r="C4424" s="161">
        <f t="shared" si="258"/>
        <v>2015</v>
      </c>
      <c r="D4424" s="35" t="s">
        <v>326</v>
      </c>
      <c r="E4424" s="227">
        <v>42339</v>
      </c>
      <c r="F4424" s="156">
        <v>203944.54</v>
      </c>
      <c r="G4424" s="131">
        <f t="shared" si="259"/>
        <v>36546.861568</v>
      </c>
      <c r="H4424" s="156">
        <v>18812</v>
      </c>
      <c r="I4424" s="156">
        <v>0</v>
      </c>
      <c r="J4424" s="156">
        <v>0</v>
      </c>
      <c r="K4424" s="131">
        <f t="shared" si="260"/>
        <v>18812</v>
      </c>
      <c r="L4424" s="134">
        <v>0.1792</v>
      </c>
    </row>
    <row r="4425" spans="3:12">
      <c r="C4425" s="161">
        <f t="shared" si="258"/>
        <v>2016</v>
      </c>
      <c r="D4425" s="35" t="s">
        <v>326</v>
      </c>
      <c r="E4425" s="227">
        <v>42370</v>
      </c>
      <c r="F4425" s="156">
        <v>195121.67</v>
      </c>
      <c r="G4425" s="131">
        <f t="shared" si="259"/>
        <v>34965.803264000002</v>
      </c>
      <c r="H4425" s="156">
        <v>214972</v>
      </c>
      <c r="I4425" s="156">
        <v>0</v>
      </c>
      <c r="J4425" s="156">
        <v>0</v>
      </c>
      <c r="K4425" s="131">
        <f t="shared" si="260"/>
        <v>214972</v>
      </c>
      <c r="L4425" s="134">
        <v>0.1792</v>
      </c>
    </row>
    <row r="4426" spans="3:12">
      <c r="C4426" s="161">
        <f t="shared" si="258"/>
        <v>2016</v>
      </c>
      <c r="D4426" s="35" t="s">
        <v>326</v>
      </c>
      <c r="E4426" s="227">
        <v>42401</v>
      </c>
      <c r="F4426" s="156">
        <v>211454.13</v>
      </c>
      <c r="G4426" s="131">
        <f t="shared" si="259"/>
        <v>37892.580095999998</v>
      </c>
      <c r="H4426" s="156">
        <v>850</v>
      </c>
      <c r="I4426" s="156">
        <v>21870</v>
      </c>
      <c r="J4426" s="156">
        <v>0</v>
      </c>
      <c r="K4426" s="131">
        <f t="shared" si="260"/>
        <v>22720</v>
      </c>
      <c r="L4426" s="134">
        <v>0.1792</v>
      </c>
    </row>
    <row r="4427" spans="3:12">
      <c r="C4427" s="161">
        <f t="shared" si="258"/>
        <v>2016</v>
      </c>
      <c r="D4427" s="35" t="s">
        <v>326</v>
      </c>
      <c r="E4427" s="227">
        <v>42430</v>
      </c>
      <c r="F4427" s="156">
        <v>187894.92</v>
      </c>
      <c r="G4427" s="131">
        <f t="shared" si="259"/>
        <v>33670.769663999999</v>
      </c>
      <c r="H4427" s="156">
        <v>601</v>
      </c>
      <c r="I4427" s="156">
        <v>0</v>
      </c>
      <c r="J4427" s="156">
        <v>0</v>
      </c>
      <c r="K4427" s="131">
        <f t="shared" si="260"/>
        <v>601</v>
      </c>
      <c r="L4427" s="134">
        <v>0.1792</v>
      </c>
    </row>
    <row r="4428" spans="3:12">
      <c r="C4428" s="161">
        <f t="shared" si="258"/>
        <v>2016</v>
      </c>
      <c r="D4428" s="35" t="s">
        <v>326</v>
      </c>
      <c r="E4428" s="227">
        <v>42461</v>
      </c>
      <c r="F4428" s="156">
        <v>212011</v>
      </c>
      <c r="G4428" s="131">
        <f t="shared" si="259"/>
        <v>37992.371200000001</v>
      </c>
      <c r="H4428" s="156">
        <v>27916</v>
      </c>
      <c r="I4428" s="156">
        <v>0</v>
      </c>
      <c r="J4428" s="156">
        <v>0</v>
      </c>
      <c r="K4428" s="131">
        <f t="shared" si="260"/>
        <v>27916</v>
      </c>
      <c r="L4428" s="134">
        <v>0.1792</v>
      </c>
    </row>
    <row r="4429" spans="3:12">
      <c r="C4429" s="161">
        <f t="shared" si="258"/>
        <v>2016</v>
      </c>
      <c r="D4429" s="35" t="s">
        <v>326</v>
      </c>
      <c r="E4429" s="227">
        <v>42491</v>
      </c>
      <c r="F4429" s="156">
        <v>187493.51</v>
      </c>
      <c r="G4429" s="131">
        <f t="shared" si="259"/>
        <v>33598.836992000004</v>
      </c>
      <c r="H4429" s="156">
        <v>1983</v>
      </c>
      <c r="I4429" s="156">
        <v>0</v>
      </c>
      <c r="J4429" s="156">
        <v>0</v>
      </c>
      <c r="K4429" s="131">
        <f t="shared" si="260"/>
        <v>1983</v>
      </c>
      <c r="L4429" s="134">
        <v>0.1792</v>
      </c>
    </row>
    <row r="4430" spans="3:12">
      <c r="C4430" s="161">
        <f t="shared" si="258"/>
        <v>2016</v>
      </c>
      <c r="D4430" s="35" t="s">
        <v>326</v>
      </c>
      <c r="E4430" s="227">
        <v>42522</v>
      </c>
      <c r="F4430" s="156">
        <v>182049.81</v>
      </c>
      <c r="G4430" s="131">
        <f t="shared" si="259"/>
        <v>32623.325951999999</v>
      </c>
      <c r="H4430" s="156">
        <v>63356</v>
      </c>
      <c r="I4430" s="156">
        <v>0</v>
      </c>
      <c r="J4430" s="156">
        <v>0</v>
      </c>
      <c r="K4430" s="131">
        <f t="shared" si="260"/>
        <v>63356</v>
      </c>
      <c r="L4430" s="134">
        <v>0.1792</v>
      </c>
    </row>
    <row r="4431" spans="3:12">
      <c r="C4431" s="161">
        <f t="shared" si="258"/>
        <v>2016</v>
      </c>
      <c r="D4431" s="35" t="s">
        <v>326</v>
      </c>
      <c r="E4431" s="227">
        <v>42552</v>
      </c>
      <c r="F4431" s="156">
        <v>218163.46</v>
      </c>
      <c r="G4431" s="131">
        <f t="shared" si="259"/>
        <v>39094.892031999996</v>
      </c>
      <c r="H4431" s="156">
        <v>780</v>
      </c>
      <c r="I4431" s="156">
        <v>0</v>
      </c>
      <c r="J4431" s="156">
        <v>0</v>
      </c>
      <c r="K4431" s="131">
        <f t="shared" si="260"/>
        <v>780</v>
      </c>
      <c r="L4431" s="134">
        <v>0.1792</v>
      </c>
    </row>
    <row r="4432" spans="3:12">
      <c r="C4432" s="161">
        <f t="shared" si="258"/>
        <v>2016</v>
      </c>
      <c r="D4432" s="35" t="s">
        <v>326</v>
      </c>
      <c r="E4432" s="227">
        <v>42583</v>
      </c>
      <c r="F4432" s="156">
        <v>227508.58</v>
      </c>
      <c r="G4432" s="131">
        <f t="shared" si="259"/>
        <v>40769.537535999996</v>
      </c>
      <c r="H4432" s="156">
        <v>1706</v>
      </c>
      <c r="I4432" s="156">
        <v>83855</v>
      </c>
      <c r="J4432" s="156">
        <v>11740</v>
      </c>
      <c r="K4432" s="131">
        <f t="shared" si="260"/>
        <v>97301</v>
      </c>
      <c r="L4432" s="134">
        <v>0.1792</v>
      </c>
    </row>
    <row r="4433" spans="3:12">
      <c r="C4433" s="161">
        <f t="shared" si="258"/>
        <v>2016</v>
      </c>
      <c r="D4433" s="35" t="s">
        <v>326</v>
      </c>
      <c r="E4433" s="227">
        <v>42614</v>
      </c>
      <c r="F4433" s="156">
        <v>218858.93</v>
      </c>
      <c r="G4433" s="131">
        <f t="shared" si="259"/>
        <v>39219.520255999996</v>
      </c>
      <c r="H4433" s="156">
        <v>1646</v>
      </c>
      <c r="I4433" s="156">
        <v>0</v>
      </c>
      <c r="J4433" s="156">
        <v>0</v>
      </c>
      <c r="K4433" s="131">
        <f t="shared" si="260"/>
        <v>1646</v>
      </c>
      <c r="L4433" s="134">
        <v>0.1792</v>
      </c>
    </row>
    <row r="4434" spans="3:12">
      <c r="C4434" s="161">
        <f t="shared" si="258"/>
        <v>2016</v>
      </c>
      <c r="D4434" s="35" t="s">
        <v>326</v>
      </c>
      <c r="E4434" s="227">
        <v>42644</v>
      </c>
      <c r="F4434" s="156">
        <v>241241.23</v>
      </c>
      <c r="G4434" s="131">
        <f t="shared" si="259"/>
        <v>43230.428416000002</v>
      </c>
      <c r="H4434" s="156">
        <v>2019</v>
      </c>
      <c r="I4434" s="156">
        <v>0</v>
      </c>
      <c r="J4434" s="156">
        <v>0</v>
      </c>
      <c r="K4434" s="131">
        <f t="shared" si="260"/>
        <v>2019</v>
      </c>
      <c r="L4434" s="134">
        <v>0.1792</v>
      </c>
    </row>
    <row r="4435" spans="3:12">
      <c r="C4435" s="161">
        <f t="shared" si="258"/>
        <v>2016</v>
      </c>
      <c r="D4435" s="35" t="s">
        <v>326</v>
      </c>
      <c r="E4435" s="227">
        <v>42675</v>
      </c>
      <c r="F4435" s="156">
        <v>225184.14</v>
      </c>
      <c r="G4435" s="131">
        <f t="shared" si="259"/>
        <v>40352.997888000005</v>
      </c>
      <c r="H4435" s="156">
        <v>2933</v>
      </c>
      <c r="I4435" s="156">
        <v>0</v>
      </c>
      <c r="J4435" s="156">
        <v>0</v>
      </c>
      <c r="K4435" s="131">
        <f t="shared" si="260"/>
        <v>2933</v>
      </c>
      <c r="L4435" s="134">
        <v>0.1792</v>
      </c>
    </row>
    <row r="4436" spans="3:12">
      <c r="C4436" s="161">
        <f t="shared" si="258"/>
        <v>2016</v>
      </c>
      <c r="D4436" s="35" t="s">
        <v>326</v>
      </c>
      <c r="E4436" s="227">
        <v>42705</v>
      </c>
      <c r="F4436" s="156">
        <v>223588.85</v>
      </c>
      <c r="G4436" s="131">
        <f t="shared" si="259"/>
        <v>40067.121919999998</v>
      </c>
      <c r="H4436" s="156">
        <v>237229.9</v>
      </c>
      <c r="I4436" s="156">
        <v>184.2</v>
      </c>
      <c r="J4436" s="156">
        <v>0</v>
      </c>
      <c r="K4436" s="131">
        <f t="shared" si="260"/>
        <v>237414.1</v>
      </c>
      <c r="L4436" s="134">
        <v>0.1792</v>
      </c>
    </row>
    <row r="4437" spans="3:12">
      <c r="C4437" s="161">
        <f t="shared" si="258"/>
        <v>2017</v>
      </c>
      <c r="D4437" s="35" t="s">
        <v>326</v>
      </c>
      <c r="E4437" s="227">
        <v>42736</v>
      </c>
      <c r="F4437" s="156">
        <v>239757.06</v>
      </c>
      <c r="G4437" s="131">
        <f t="shared" si="259"/>
        <v>42964.465151999997</v>
      </c>
      <c r="H4437" s="156">
        <v>1582.14</v>
      </c>
      <c r="I4437" s="156">
        <v>1974.66</v>
      </c>
      <c r="J4437" s="156">
        <v>0</v>
      </c>
      <c r="K4437" s="131">
        <f t="shared" si="260"/>
        <v>3556.8</v>
      </c>
      <c r="L4437" s="134">
        <v>0.1792</v>
      </c>
    </row>
    <row r="4438" spans="3:12">
      <c r="C4438" s="161">
        <f t="shared" si="258"/>
        <v>2017</v>
      </c>
      <c r="D4438" s="35" t="s">
        <v>326</v>
      </c>
      <c r="E4438" s="227">
        <v>42767</v>
      </c>
      <c r="F4438" s="156">
        <v>227880.55</v>
      </c>
      <c r="G4438" s="131">
        <f t="shared" si="259"/>
        <v>40836.194559999996</v>
      </c>
      <c r="H4438" s="156">
        <v>1010.22</v>
      </c>
      <c r="I4438" s="156">
        <v>4378.93</v>
      </c>
      <c r="J4438" s="156">
        <v>610</v>
      </c>
      <c r="K4438" s="131">
        <f t="shared" si="260"/>
        <v>5999.1500000000005</v>
      </c>
      <c r="L4438" s="134">
        <v>0.1792</v>
      </c>
    </row>
    <row r="4439" spans="3:12">
      <c r="C4439" s="161">
        <f t="shared" si="258"/>
        <v>2017</v>
      </c>
      <c r="D4439" s="35" t="s">
        <v>326</v>
      </c>
      <c r="E4439" s="227">
        <v>42795</v>
      </c>
      <c r="F4439" s="156">
        <v>229687.71</v>
      </c>
      <c r="G4439" s="131">
        <f t="shared" si="259"/>
        <v>41160.037632</v>
      </c>
      <c r="H4439" s="156">
        <v>2327.48</v>
      </c>
      <c r="I4439" s="156">
        <v>0</v>
      </c>
      <c r="J4439" s="156">
        <v>602.20000000000005</v>
      </c>
      <c r="K4439" s="131">
        <f t="shared" si="260"/>
        <v>2929.6800000000003</v>
      </c>
      <c r="L4439" s="134">
        <v>0.1792</v>
      </c>
    </row>
    <row r="4440" spans="3:12">
      <c r="C4440" s="161">
        <f t="shared" si="258"/>
        <v>2017</v>
      </c>
      <c r="D4440" s="35" t="s">
        <v>326</v>
      </c>
      <c r="E4440" s="227">
        <v>42826</v>
      </c>
      <c r="F4440" s="156">
        <v>247454.79</v>
      </c>
      <c r="G4440" s="131">
        <f t="shared" si="259"/>
        <v>44343.898368000002</v>
      </c>
      <c r="H4440" s="156">
        <v>1884.98</v>
      </c>
      <c r="I4440" s="156">
        <v>0</v>
      </c>
      <c r="J4440" s="156">
        <v>0</v>
      </c>
      <c r="K4440" s="131">
        <f t="shared" si="260"/>
        <v>1884.98</v>
      </c>
      <c r="L4440" s="134">
        <v>0.1792</v>
      </c>
    </row>
    <row r="4441" spans="3:12">
      <c r="C4441" s="161">
        <f t="shared" si="258"/>
        <v>2017</v>
      </c>
      <c r="D4441" s="35" t="s">
        <v>326</v>
      </c>
      <c r="E4441" s="227">
        <v>42856</v>
      </c>
      <c r="F4441" s="156">
        <v>220844.16</v>
      </c>
      <c r="G4441" s="131">
        <f t="shared" si="259"/>
        <v>39575.273472000001</v>
      </c>
      <c r="H4441" s="156">
        <v>1342.48</v>
      </c>
      <c r="I4441" s="156">
        <v>78.599999999999994</v>
      </c>
      <c r="J4441" s="156">
        <v>0</v>
      </c>
      <c r="K4441" s="131">
        <f t="shared" si="260"/>
        <v>1421.08</v>
      </c>
      <c r="L4441" s="134">
        <v>0.1792</v>
      </c>
    </row>
    <row r="4442" spans="3:12">
      <c r="C4442" s="161">
        <f t="shared" si="258"/>
        <v>2017</v>
      </c>
      <c r="D4442" s="35" t="s">
        <v>326</v>
      </c>
      <c r="E4442" s="227">
        <v>42887</v>
      </c>
      <c r="F4442" s="156">
        <v>214758.84</v>
      </c>
      <c r="G4442" s="131">
        <f t="shared" si="259"/>
        <v>38484.784127999999</v>
      </c>
      <c r="H4442" s="156">
        <v>24058.71</v>
      </c>
      <c r="I4442" s="156">
        <v>0</v>
      </c>
      <c r="J4442" s="156">
        <v>0</v>
      </c>
      <c r="K4442" s="131">
        <f t="shared" si="260"/>
        <v>24058.71</v>
      </c>
      <c r="L4442" s="134">
        <v>0.1792</v>
      </c>
    </row>
    <row r="4443" spans="3:12">
      <c r="C4443" s="161">
        <f t="shared" si="258"/>
        <v>2017</v>
      </c>
      <c r="D4443" s="35" t="s">
        <v>326</v>
      </c>
      <c r="E4443" s="227">
        <v>42917</v>
      </c>
      <c r="F4443" s="156">
        <v>240633.41</v>
      </c>
      <c r="G4443" s="131">
        <f t="shared" si="259"/>
        <v>43121.507072</v>
      </c>
      <c r="H4443" s="156">
        <v>13351.39</v>
      </c>
      <c r="I4443" s="156">
        <v>0</v>
      </c>
      <c r="J4443" s="156">
        <v>0</v>
      </c>
      <c r="K4443" s="131">
        <f t="shared" si="260"/>
        <v>13351.39</v>
      </c>
      <c r="L4443" s="134">
        <v>0.1792</v>
      </c>
    </row>
    <row r="4444" spans="3:12">
      <c r="C4444" s="161">
        <f t="shared" si="258"/>
        <v>2017</v>
      </c>
      <c r="D4444" s="35" t="s">
        <v>326</v>
      </c>
      <c r="E4444" s="227">
        <v>42948</v>
      </c>
      <c r="F4444" s="156">
        <v>260127.94</v>
      </c>
      <c r="G4444" s="131">
        <f t="shared" si="259"/>
        <v>46614.926848000003</v>
      </c>
      <c r="H4444" s="156">
        <v>1337.29</v>
      </c>
      <c r="I4444" s="156">
        <v>0</v>
      </c>
      <c r="J4444" s="156">
        <v>0</v>
      </c>
      <c r="K4444" s="131">
        <f t="shared" si="260"/>
        <v>1337.29</v>
      </c>
      <c r="L4444" s="134">
        <v>0.1792</v>
      </c>
    </row>
    <row r="4445" spans="3:12">
      <c r="C4445" s="161">
        <f t="shared" si="258"/>
        <v>2017</v>
      </c>
      <c r="D4445" s="35" t="s">
        <v>326</v>
      </c>
      <c r="E4445" s="227">
        <v>42979</v>
      </c>
      <c r="F4445" s="156">
        <v>266715.32</v>
      </c>
      <c r="G4445" s="131">
        <f t="shared" si="259"/>
        <v>47795.385344000002</v>
      </c>
      <c r="H4445" s="156">
        <v>1070.74</v>
      </c>
      <c r="I4445" s="156">
        <v>94.18</v>
      </c>
      <c r="J4445" s="156">
        <v>0</v>
      </c>
      <c r="K4445" s="131">
        <f t="shared" si="260"/>
        <v>1164.92</v>
      </c>
      <c r="L4445" s="134">
        <v>0.1792</v>
      </c>
    </row>
    <row r="4446" spans="3:12">
      <c r="C4446" s="161">
        <f t="shared" si="258"/>
        <v>2017</v>
      </c>
      <c r="D4446" s="35" t="s">
        <v>326</v>
      </c>
      <c r="E4446" s="227">
        <v>43009</v>
      </c>
      <c r="F4446" s="156">
        <v>267377.98</v>
      </c>
      <c r="G4446" s="131">
        <f t="shared" si="259"/>
        <v>47914.134015999996</v>
      </c>
      <c r="H4446" s="156">
        <v>2434.88</v>
      </c>
      <c r="I4446" s="156">
        <v>132.85</v>
      </c>
      <c r="J4446" s="156">
        <v>0</v>
      </c>
      <c r="K4446" s="131">
        <f t="shared" si="260"/>
        <v>2567.73</v>
      </c>
      <c r="L4446" s="134">
        <v>0.1792</v>
      </c>
    </row>
    <row r="4447" spans="3:12">
      <c r="C4447" s="161">
        <f t="shared" si="258"/>
        <v>2017</v>
      </c>
      <c r="D4447" s="35" t="s">
        <v>326</v>
      </c>
      <c r="E4447" s="227">
        <v>43040</v>
      </c>
      <c r="F4447" s="156">
        <v>244348.77</v>
      </c>
      <c r="G4447" s="131">
        <f t="shared" si="259"/>
        <v>43787.299584</v>
      </c>
      <c r="H4447" s="156">
        <v>4325.24</v>
      </c>
      <c r="I4447" s="156">
        <v>0</v>
      </c>
      <c r="J4447" s="156">
        <v>0</v>
      </c>
      <c r="K4447" s="131">
        <f t="shared" si="260"/>
        <v>4325.24</v>
      </c>
      <c r="L4447" s="134">
        <v>0.1792</v>
      </c>
    </row>
    <row r="4448" spans="3:12">
      <c r="C4448" s="161">
        <f t="shared" si="258"/>
        <v>2017</v>
      </c>
      <c r="D4448" s="35" t="s">
        <v>326</v>
      </c>
      <c r="E4448" s="227">
        <v>43070</v>
      </c>
      <c r="F4448" s="156">
        <v>269749.37</v>
      </c>
      <c r="G4448" s="131">
        <f t="shared" si="259"/>
        <v>48339.087103999998</v>
      </c>
      <c r="H4448" s="156">
        <v>805.24</v>
      </c>
      <c r="I4448" s="156">
        <v>0</v>
      </c>
      <c r="J4448" s="156">
        <v>0</v>
      </c>
      <c r="K4448" s="131">
        <f t="shared" si="260"/>
        <v>805.24</v>
      </c>
      <c r="L4448" s="134">
        <v>0.1792</v>
      </c>
    </row>
    <row r="4449" spans="3:12">
      <c r="C4449" s="161">
        <f t="shared" si="258"/>
        <v>2018</v>
      </c>
      <c r="D4449" s="35" t="s">
        <v>326</v>
      </c>
      <c r="E4449" s="227">
        <v>43101</v>
      </c>
      <c r="F4449" s="156">
        <v>242420</v>
      </c>
      <c r="G4449" s="131">
        <f t="shared" si="259"/>
        <v>43441.663999999997</v>
      </c>
      <c r="H4449" s="156">
        <v>46510.21</v>
      </c>
      <c r="I4449" s="156">
        <v>0</v>
      </c>
      <c r="J4449" s="156">
        <v>0</v>
      </c>
      <c r="K4449" s="131">
        <f t="shared" si="260"/>
        <v>46510.21</v>
      </c>
      <c r="L4449" s="134">
        <v>0.1792</v>
      </c>
    </row>
    <row r="4450" spans="3:12">
      <c r="C4450" s="161">
        <f t="shared" si="258"/>
        <v>2018</v>
      </c>
      <c r="D4450" s="35" t="s">
        <v>326</v>
      </c>
      <c r="E4450" s="227">
        <v>43132</v>
      </c>
      <c r="F4450" s="156">
        <v>260131.58</v>
      </c>
      <c r="G4450" s="131">
        <f t="shared" si="259"/>
        <v>46615.579136</v>
      </c>
      <c r="H4450" s="156">
        <v>1006.66</v>
      </c>
      <c r="I4450" s="156">
        <v>0</v>
      </c>
      <c r="J4450" s="156">
        <v>0</v>
      </c>
      <c r="K4450" s="131">
        <f t="shared" si="260"/>
        <v>1006.66</v>
      </c>
      <c r="L4450" s="134">
        <v>0.1792</v>
      </c>
    </row>
    <row r="4451" spans="3:12">
      <c r="C4451" s="161">
        <f t="shared" si="258"/>
        <v>2018</v>
      </c>
      <c r="D4451" s="35" t="s">
        <v>326</v>
      </c>
      <c r="E4451" s="227">
        <v>43160</v>
      </c>
      <c r="F4451" s="156">
        <v>248379.3</v>
      </c>
      <c r="G4451" s="131">
        <f t="shared" si="259"/>
        <v>44509.57056</v>
      </c>
      <c r="H4451" s="156">
        <v>3819.25</v>
      </c>
      <c r="I4451" s="156">
        <v>0</v>
      </c>
      <c r="J4451" s="156">
        <v>0</v>
      </c>
      <c r="K4451" s="131">
        <f t="shared" si="260"/>
        <v>3819.25</v>
      </c>
      <c r="L4451" s="134">
        <v>0.1792</v>
      </c>
    </row>
    <row r="4452" spans="3:12">
      <c r="C4452" s="161">
        <f t="shared" si="258"/>
        <v>2018</v>
      </c>
      <c r="D4452" s="35" t="s">
        <v>326</v>
      </c>
      <c r="E4452" s="227">
        <v>43191</v>
      </c>
      <c r="F4452" s="156">
        <v>264622.62</v>
      </c>
      <c r="G4452" s="131">
        <f t="shared" si="259"/>
        <v>47420.373503999996</v>
      </c>
      <c r="H4452" s="156">
        <v>2995.87</v>
      </c>
      <c r="I4452" s="156">
        <v>0</v>
      </c>
      <c r="J4452" s="156">
        <v>0</v>
      </c>
      <c r="K4452" s="131">
        <f t="shared" si="260"/>
        <v>2995.87</v>
      </c>
      <c r="L4452" s="134">
        <v>0.1792</v>
      </c>
    </row>
    <row r="4453" spans="3:12">
      <c r="C4453" s="161">
        <f t="shared" si="258"/>
        <v>2018</v>
      </c>
      <c r="D4453" s="35" t="s">
        <v>326</v>
      </c>
      <c r="E4453" s="227">
        <v>43221</v>
      </c>
      <c r="F4453" s="156">
        <v>263987.09999999998</v>
      </c>
      <c r="G4453" s="131">
        <f t="shared" si="259"/>
        <v>47306.488319999997</v>
      </c>
      <c r="H4453" s="156">
        <v>1558.9</v>
      </c>
      <c r="I4453" s="156">
        <v>0</v>
      </c>
      <c r="J4453" s="156">
        <v>0</v>
      </c>
      <c r="K4453" s="131">
        <f t="shared" si="260"/>
        <v>1558.9</v>
      </c>
      <c r="L4453" s="134">
        <v>0.1792</v>
      </c>
    </row>
    <row r="4454" spans="3:12">
      <c r="C4454" s="161">
        <f t="shared" si="258"/>
        <v>2018</v>
      </c>
      <c r="D4454" s="35" t="s">
        <v>326</v>
      </c>
      <c r="E4454" s="227">
        <v>43252</v>
      </c>
      <c r="F4454" s="156">
        <v>250569.82</v>
      </c>
      <c r="G4454" s="131">
        <f t="shared" si="259"/>
        <v>44902.111744000002</v>
      </c>
      <c r="H4454" s="156">
        <v>1733.82</v>
      </c>
      <c r="I4454" s="156">
        <v>0</v>
      </c>
      <c r="J4454" s="156">
        <v>0</v>
      </c>
      <c r="K4454" s="131">
        <f t="shared" si="260"/>
        <v>1733.82</v>
      </c>
      <c r="L4454" s="134">
        <v>0.1792</v>
      </c>
    </row>
    <row r="4455" spans="3:12">
      <c r="C4455" s="161">
        <f t="shared" si="258"/>
        <v>2018</v>
      </c>
      <c r="D4455" s="35" t="s">
        <v>326</v>
      </c>
      <c r="E4455" s="227">
        <v>43282</v>
      </c>
      <c r="F4455" s="156">
        <v>276286.57</v>
      </c>
      <c r="G4455" s="131">
        <f t="shared" si="259"/>
        <v>49510.553344</v>
      </c>
      <c r="H4455" s="156">
        <v>1074.75</v>
      </c>
      <c r="I4455" s="156">
        <v>87.61</v>
      </c>
      <c r="J4455" s="156">
        <v>0</v>
      </c>
      <c r="K4455" s="131">
        <f t="shared" si="260"/>
        <v>1162.3599999999999</v>
      </c>
      <c r="L4455" s="134">
        <v>0.1792</v>
      </c>
    </row>
    <row r="4456" spans="3:12">
      <c r="C4456" s="161">
        <f t="shared" si="258"/>
        <v>2018</v>
      </c>
      <c r="D4456" s="35" t="s">
        <v>326</v>
      </c>
      <c r="E4456" s="227">
        <v>43313</v>
      </c>
      <c r="F4456" s="156">
        <v>265336</v>
      </c>
      <c r="G4456" s="131">
        <f t="shared" si="259"/>
        <v>47548.211199999998</v>
      </c>
      <c r="H4456" s="156">
        <v>7435.44</v>
      </c>
      <c r="I4456" s="156">
        <v>168.44</v>
      </c>
      <c r="J4456" s="156">
        <v>0</v>
      </c>
      <c r="K4456" s="131">
        <f t="shared" si="260"/>
        <v>7603.8799999999992</v>
      </c>
      <c r="L4456" s="134">
        <v>0.1792</v>
      </c>
    </row>
    <row r="4457" spans="3:12">
      <c r="C4457" s="161">
        <f t="shared" si="258"/>
        <v>2018</v>
      </c>
      <c r="D4457" s="35" t="s">
        <v>326</v>
      </c>
      <c r="E4457" s="227">
        <v>43344</v>
      </c>
      <c r="F4457" s="156">
        <v>274395.3</v>
      </c>
      <c r="G4457" s="131">
        <f t="shared" si="259"/>
        <v>49171.637759999998</v>
      </c>
      <c r="H4457" s="156">
        <v>515.22</v>
      </c>
      <c r="I4457" s="156">
        <v>221.38</v>
      </c>
      <c r="J4457" s="156">
        <v>0</v>
      </c>
      <c r="K4457" s="131">
        <f t="shared" si="260"/>
        <v>736.6</v>
      </c>
      <c r="L4457" s="134">
        <v>0.1792</v>
      </c>
    </row>
    <row r="4458" spans="3:12">
      <c r="C4458" s="161">
        <f t="shared" si="258"/>
        <v>2018</v>
      </c>
      <c r="D4458" s="35" t="s">
        <v>326</v>
      </c>
      <c r="E4458" s="227">
        <v>43374</v>
      </c>
      <c r="F4458" s="156">
        <v>267648.69</v>
      </c>
      <c r="G4458" s="131">
        <f t="shared" si="259"/>
        <v>47962.645248000001</v>
      </c>
      <c r="H4458" s="156">
        <v>5837.84</v>
      </c>
      <c r="I4458" s="156">
        <v>0</v>
      </c>
      <c r="J4458" s="156">
        <v>0</v>
      </c>
      <c r="K4458" s="131">
        <f t="shared" si="260"/>
        <v>5837.84</v>
      </c>
      <c r="L4458" s="134">
        <v>0.1792</v>
      </c>
    </row>
    <row r="4459" spans="3:12">
      <c r="C4459" s="161">
        <f t="shared" si="258"/>
        <v>2018</v>
      </c>
      <c r="D4459" s="35" t="s">
        <v>326</v>
      </c>
      <c r="E4459" s="227">
        <v>43405</v>
      </c>
      <c r="F4459" s="156">
        <v>283444.584225</v>
      </c>
      <c r="G4459" s="131">
        <f t="shared" si="259"/>
        <v>50793.269493120002</v>
      </c>
      <c r="H4459" s="156">
        <v>499.29</v>
      </c>
      <c r="I4459" s="156">
        <v>133.27000000000001</v>
      </c>
      <c r="J4459" s="156">
        <v>43222.5</v>
      </c>
      <c r="K4459" s="131">
        <f t="shared" si="260"/>
        <v>43855.06</v>
      </c>
      <c r="L4459" s="134">
        <v>0.1792</v>
      </c>
    </row>
    <row r="4460" spans="3:12">
      <c r="C4460" s="161">
        <f t="shared" si="258"/>
        <v>2018</v>
      </c>
      <c r="D4460" s="35" t="s">
        <v>326</v>
      </c>
      <c r="E4460" s="227">
        <v>43435</v>
      </c>
      <c r="F4460" s="156">
        <v>293822.5</v>
      </c>
      <c r="G4460" s="131">
        <f t="shared" si="259"/>
        <v>52652.991999999998</v>
      </c>
      <c r="H4460" s="156">
        <v>0</v>
      </c>
      <c r="I4460" s="156">
        <v>0</v>
      </c>
      <c r="J4460" s="156">
        <v>0</v>
      </c>
      <c r="K4460" s="131">
        <f t="shared" si="260"/>
        <v>0</v>
      </c>
      <c r="L4460" s="134">
        <v>0.1792</v>
      </c>
    </row>
    <row r="4461" spans="3:12">
      <c r="C4461" s="161">
        <f t="shared" si="258"/>
        <v>2019</v>
      </c>
      <c r="D4461" s="35" t="s">
        <v>326</v>
      </c>
      <c r="E4461" s="227">
        <v>43466</v>
      </c>
      <c r="F4461" s="156">
        <v>304881.39</v>
      </c>
      <c r="G4461" s="131">
        <f t="shared" si="259"/>
        <v>54634.745088000003</v>
      </c>
      <c r="H4461" s="156">
        <v>1629</v>
      </c>
      <c r="I4461" s="156">
        <v>0</v>
      </c>
      <c r="J4461" s="156">
        <v>0</v>
      </c>
      <c r="K4461" s="131">
        <f t="shared" si="260"/>
        <v>1629</v>
      </c>
      <c r="L4461" s="134">
        <v>0.1792</v>
      </c>
    </row>
    <row r="4462" spans="3:12">
      <c r="C4462" s="161">
        <f t="shared" si="258"/>
        <v>2019</v>
      </c>
      <c r="D4462" s="35" t="s">
        <v>326</v>
      </c>
      <c r="E4462" s="227">
        <v>43497</v>
      </c>
      <c r="F4462" s="156">
        <v>276183.82</v>
      </c>
      <c r="G4462" s="131">
        <f t="shared" si="259"/>
        <v>49492.140544000002</v>
      </c>
      <c r="H4462" s="156">
        <v>46.03</v>
      </c>
      <c r="I4462" s="156">
        <v>7736.6</v>
      </c>
      <c r="J4462" s="156">
        <v>0</v>
      </c>
      <c r="K4462" s="131">
        <f t="shared" si="260"/>
        <v>7782.63</v>
      </c>
      <c r="L4462" s="134">
        <v>0.1792</v>
      </c>
    </row>
    <row r="4463" spans="3:12">
      <c r="C4463" s="161">
        <f t="shared" si="258"/>
        <v>2019</v>
      </c>
      <c r="D4463" s="35" t="s">
        <v>326</v>
      </c>
      <c r="E4463" s="227">
        <v>43525</v>
      </c>
      <c r="F4463" s="156">
        <v>255171.83</v>
      </c>
      <c r="G4463" s="131">
        <f t="shared" si="259"/>
        <v>45726.791935999994</v>
      </c>
      <c r="H4463" s="156">
        <v>1098.8</v>
      </c>
      <c r="I4463" s="156">
        <v>240844.4</v>
      </c>
      <c r="J4463" s="156">
        <v>0</v>
      </c>
      <c r="K4463" s="131">
        <f t="shared" si="260"/>
        <v>241943.19999999998</v>
      </c>
      <c r="L4463" s="134">
        <v>0.1792</v>
      </c>
    </row>
    <row r="4464" spans="3:12">
      <c r="C4464" s="161">
        <f t="shared" si="258"/>
        <v>2019</v>
      </c>
      <c r="D4464" s="35" t="s">
        <v>326</v>
      </c>
      <c r="E4464" s="227">
        <v>43556</v>
      </c>
      <c r="F4464" s="156">
        <v>264609.90999999997</v>
      </c>
      <c r="G4464" s="131">
        <f t="shared" si="259"/>
        <v>47418.095871999998</v>
      </c>
      <c r="H4464" s="156">
        <v>1203.6400000000001</v>
      </c>
      <c r="I4464" s="156">
        <v>63756.99</v>
      </c>
      <c r="J4464" s="156">
        <v>3634</v>
      </c>
      <c r="K4464" s="131">
        <f t="shared" si="260"/>
        <v>68594.63</v>
      </c>
      <c r="L4464" s="134">
        <v>0.1792</v>
      </c>
    </row>
    <row r="4465" spans="3:12">
      <c r="C4465" s="161">
        <f t="shared" si="258"/>
        <v>2019</v>
      </c>
      <c r="D4465" s="35" t="s">
        <v>326</v>
      </c>
      <c r="E4465" s="227">
        <v>43586</v>
      </c>
      <c r="F4465" s="156">
        <v>263887.2</v>
      </c>
      <c r="G4465" s="131">
        <f t="shared" si="259"/>
        <v>47288.586240000004</v>
      </c>
      <c r="H4465" s="156">
        <v>1998.04</v>
      </c>
      <c r="I4465" s="156">
        <v>666461.97</v>
      </c>
      <c r="J4465" s="156">
        <v>0</v>
      </c>
      <c r="K4465" s="131">
        <f t="shared" si="260"/>
        <v>668460.01</v>
      </c>
      <c r="L4465" s="134">
        <v>0.1792</v>
      </c>
    </row>
    <row r="4466" spans="3:12">
      <c r="C4466" s="161">
        <f t="shared" si="258"/>
        <v>2019</v>
      </c>
      <c r="D4466" s="35" t="s">
        <v>326</v>
      </c>
      <c r="E4466" s="227">
        <v>43617</v>
      </c>
      <c r="F4466" s="156">
        <v>274566.68</v>
      </c>
      <c r="G4466" s="131">
        <f t="shared" si="259"/>
        <v>49202.349055999999</v>
      </c>
      <c r="H4466" s="156">
        <v>1301.23</v>
      </c>
      <c r="I4466" s="156">
        <v>59431.96</v>
      </c>
      <c r="J4466" s="156">
        <v>0</v>
      </c>
      <c r="K4466" s="131">
        <f t="shared" si="260"/>
        <v>60733.19</v>
      </c>
      <c r="L4466" s="134">
        <v>0.1792</v>
      </c>
    </row>
    <row r="4467" spans="3:12">
      <c r="C4467" s="161">
        <f t="shared" si="258"/>
        <v>2019</v>
      </c>
      <c r="D4467" s="35" t="s">
        <v>326</v>
      </c>
      <c r="E4467" s="227">
        <v>43647</v>
      </c>
      <c r="F4467" s="156">
        <v>274328.08</v>
      </c>
      <c r="G4467" s="131">
        <f t="shared" si="259"/>
        <v>49159.591936000004</v>
      </c>
      <c r="H4467" s="156">
        <v>975.43</v>
      </c>
      <c r="I4467" s="156">
        <v>55952.2</v>
      </c>
      <c r="J4467" s="156">
        <v>0</v>
      </c>
      <c r="K4467" s="131">
        <f t="shared" si="260"/>
        <v>56927.63</v>
      </c>
      <c r="L4467" s="134">
        <v>0.1792</v>
      </c>
    </row>
    <row r="4468" spans="3:12">
      <c r="C4468" s="161">
        <f t="shared" si="258"/>
        <v>2019</v>
      </c>
      <c r="D4468" s="35" t="s">
        <v>326</v>
      </c>
      <c r="E4468" s="227">
        <v>43678</v>
      </c>
      <c r="F4468" s="156">
        <v>315235.34999999998</v>
      </c>
      <c r="G4468" s="131">
        <f t="shared" si="259"/>
        <v>56490.174719999995</v>
      </c>
      <c r="H4468" s="156">
        <v>242.05</v>
      </c>
      <c r="I4468" s="156">
        <v>96671.91</v>
      </c>
      <c r="J4468" s="156">
        <v>0</v>
      </c>
      <c r="K4468" s="131">
        <f t="shared" si="260"/>
        <v>96913.96</v>
      </c>
      <c r="L4468" s="134">
        <v>0.1792</v>
      </c>
    </row>
    <row r="4469" spans="3:12">
      <c r="C4469" s="161">
        <f t="shared" si="258"/>
        <v>2019</v>
      </c>
      <c r="D4469" s="35" t="s">
        <v>326</v>
      </c>
      <c r="E4469" s="227">
        <v>43709</v>
      </c>
      <c r="F4469" s="156">
        <v>333721.23</v>
      </c>
      <c r="G4469" s="131">
        <f t="shared" si="259"/>
        <v>59802.844415999993</v>
      </c>
      <c r="H4469" s="156">
        <v>625.16999999999996</v>
      </c>
      <c r="I4469" s="156">
        <v>146659.57</v>
      </c>
      <c r="J4469" s="156">
        <v>0</v>
      </c>
      <c r="K4469" s="131">
        <f t="shared" si="260"/>
        <v>147284.74000000002</v>
      </c>
      <c r="L4469" s="134">
        <v>0.1792</v>
      </c>
    </row>
    <row r="4470" spans="3:12">
      <c r="C4470" s="161">
        <f t="shared" si="258"/>
        <v>2019</v>
      </c>
      <c r="D4470" s="35" t="s">
        <v>326</v>
      </c>
      <c r="E4470" s="227">
        <v>43739</v>
      </c>
      <c r="F4470" s="156">
        <v>280073.99</v>
      </c>
      <c r="G4470" s="131">
        <f t="shared" si="259"/>
        <v>50189.259008000001</v>
      </c>
      <c r="H4470" s="156">
        <v>594.75</v>
      </c>
      <c r="I4470" s="156">
        <v>143385.42000000001</v>
      </c>
      <c r="J4470" s="156">
        <v>1592.53</v>
      </c>
      <c r="K4470" s="131">
        <f t="shared" si="260"/>
        <v>145572.70000000001</v>
      </c>
      <c r="L4470" s="134">
        <v>0.1792</v>
      </c>
    </row>
    <row r="4471" spans="3:12">
      <c r="C4471" s="161">
        <f t="shared" si="258"/>
        <v>2019</v>
      </c>
      <c r="D4471" s="35" t="s">
        <v>326</v>
      </c>
      <c r="E4471" s="227">
        <v>43770</v>
      </c>
      <c r="F4471" s="156">
        <v>318348.40000000002</v>
      </c>
      <c r="G4471" s="131">
        <f t="shared" si="259"/>
        <v>57048.033280000003</v>
      </c>
      <c r="H4471" s="156">
        <v>0</v>
      </c>
      <c r="I4471" s="156">
        <v>460941.68</v>
      </c>
      <c r="J4471" s="156">
        <v>0</v>
      </c>
      <c r="K4471" s="131">
        <f t="shared" si="260"/>
        <v>460941.68</v>
      </c>
      <c r="L4471" s="134">
        <v>0.1792</v>
      </c>
    </row>
    <row r="4472" spans="3:12">
      <c r="C4472" s="161">
        <f t="shared" si="258"/>
        <v>2019</v>
      </c>
      <c r="D4472" s="35" t="s">
        <v>326</v>
      </c>
      <c r="E4472" s="227">
        <v>43800</v>
      </c>
      <c r="F4472" s="156">
        <v>303167.61</v>
      </c>
      <c r="G4472" s="131">
        <f t="shared" si="259"/>
        <v>54327.635711999996</v>
      </c>
      <c r="H4472" s="156">
        <v>3302.07</v>
      </c>
      <c r="I4472" s="156">
        <v>361799.76</v>
      </c>
      <c r="J4472" s="156">
        <v>0</v>
      </c>
      <c r="K4472" s="131">
        <f t="shared" si="260"/>
        <v>365101.83</v>
      </c>
      <c r="L4472" s="134">
        <v>0.1792</v>
      </c>
    </row>
    <row r="4473" spans="3:12">
      <c r="C4473" s="161">
        <f t="shared" si="258"/>
        <v>2020</v>
      </c>
      <c r="D4473" s="35" t="s">
        <v>326</v>
      </c>
      <c r="E4473" s="227">
        <v>43831</v>
      </c>
      <c r="F4473" s="156">
        <v>293133.87</v>
      </c>
      <c r="G4473" s="131">
        <f t="shared" si="259"/>
        <v>52529.589503999996</v>
      </c>
      <c r="H4473" s="156">
        <v>892.01</v>
      </c>
      <c r="I4473" s="156">
        <v>260844</v>
      </c>
      <c r="J4473" s="156">
        <v>0</v>
      </c>
      <c r="K4473" s="131">
        <f t="shared" si="260"/>
        <v>261736.01</v>
      </c>
      <c r="L4473" s="134">
        <v>0.1792</v>
      </c>
    </row>
    <row r="4474" spans="3:12">
      <c r="C4474" s="161">
        <f t="shared" si="258"/>
        <v>2020</v>
      </c>
      <c r="D4474" s="35" t="s">
        <v>326</v>
      </c>
      <c r="E4474" s="227">
        <v>43862</v>
      </c>
      <c r="F4474" s="156">
        <v>286612.52</v>
      </c>
      <c r="G4474" s="131">
        <f t="shared" si="259"/>
        <v>51360.963584000005</v>
      </c>
      <c r="H4474" s="156">
        <v>4501.5</v>
      </c>
      <c r="I4474" s="156">
        <v>360687.13</v>
      </c>
      <c r="J4474" s="156">
        <v>0</v>
      </c>
      <c r="K4474" s="131">
        <f t="shared" si="260"/>
        <v>365188.63</v>
      </c>
      <c r="L4474" s="134">
        <v>0.1792</v>
      </c>
    </row>
    <row r="4475" spans="3:12">
      <c r="C4475" s="161">
        <f t="shared" si="258"/>
        <v>2020</v>
      </c>
      <c r="D4475" s="35" t="s">
        <v>326</v>
      </c>
      <c r="E4475" s="227">
        <v>43891</v>
      </c>
      <c r="F4475" s="156">
        <v>299112.78952499997</v>
      </c>
      <c r="G4475" s="131">
        <f t="shared" si="259"/>
        <v>53601.011882879997</v>
      </c>
      <c r="H4475" s="156">
        <v>34598.559999999998</v>
      </c>
      <c r="I4475" s="156">
        <v>361255.95</v>
      </c>
      <c r="J4475" s="156">
        <v>0</v>
      </c>
      <c r="K4475" s="131">
        <f t="shared" si="260"/>
        <v>395854.51</v>
      </c>
      <c r="L4475" s="134">
        <v>0.1792</v>
      </c>
    </row>
    <row r="4476" spans="3:12">
      <c r="C4476" s="161">
        <f t="shared" si="258"/>
        <v>2020</v>
      </c>
      <c r="D4476" s="35" t="s">
        <v>326</v>
      </c>
      <c r="E4476" s="227">
        <v>43922</v>
      </c>
      <c r="F4476" s="156">
        <v>314903.48009999999</v>
      </c>
      <c r="G4476" s="131">
        <f t="shared" si="259"/>
        <v>56430.703633919999</v>
      </c>
      <c r="H4476" s="156">
        <v>504.43</v>
      </c>
      <c r="I4476" s="156">
        <v>458766.7</v>
      </c>
      <c r="J4476" s="156">
        <v>0</v>
      </c>
      <c r="K4476" s="131">
        <f t="shared" si="260"/>
        <v>459271.13</v>
      </c>
      <c r="L4476" s="134">
        <v>0.1792</v>
      </c>
    </row>
    <row r="4477" spans="3:12">
      <c r="C4477" s="161">
        <f t="shared" si="258"/>
        <v>2020</v>
      </c>
      <c r="D4477" s="35" t="s">
        <v>326</v>
      </c>
      <c r="E4477" s="227">
        <v>43952</v>
      </c>
      <c r="F4477" s="156">
        <v>297204.78999999998</v>
      </c>
      <c r="G4477" s="131">
        <f t="shared" si="259"/>
        <v>53259.098367999999</v>
      </c>
      <c r="H4477" s="156">
        <v>315.60000000000002</v>
      </c>
      <c r="I4477" s="156">
        <v>614158.80000000005</v>
      </c>
      <c r="J4477" s="156">
        <v>0</v>
      </c>
      <c r="K4477" s="131">
        <f t="shared" si="260"/>
        <v>614474.4</v>
      </c>
      <c r="L4477" s="134">
        <v>0.1792</v>
      </c>
    </row>
    <row r="4478" spans="3:12">
      <c r="C4478" s="161">
        <f t="shared" si="258"/>
        <v>2020</v>
      </c>
      <c r="D4478" s="35" t="s">
        <v>326</v>
      </c>
      <c r="E4478" s="227">
        <v>43983</v>
      </c>
      <c r="F4478" s="156">
        <v>288573.34999999998</v>
      </c>
      <c r="G4478" s="131">
        <f t="shared" si="259"/>
        <v>51712.344319999997</v>
      </c>
      <c r="H4478" s="156">
        <v>1115008.8600000001</v>
      </c>
      <c r="I4478" s="156">
        <v>376088.85</v>
      </c>
      <c r="J4478" s="156">
        <v>2330</v>
      </c>
      <c r="K4478" s="131">
        <f t="shared" si="260"/>
        <v>1493427.71</v>
      </c>
      <c r="L4478" s="134">
        <v>0.1792</v>
      </c>
    </row>
    <row r="4479" spans="3:12">
      <c r="C4479" s="161">
        <f t="shared" si="258"/>
        <v>2020</v>
      </c>
      <c r="D4479" s="35" t="s">
        <v>326</v>
      </c>
      <c r="E4479" s="227">
        <v>44013</v>
      </c>
      <c r="F4479" s="156">
        <v>294655.5</v>
      </c>
      <c r="G4479" s="131">
        <f t="shared" si="259"/>
        <v>52802.265599999999</v>
      </c>
      <c r="H4479" s="156">
        <v>14409.95</v>
      </c>
      <c r="I4479" s="156">
        <v>339328.57</v>
      </c>
      <c r="J4479" s="156">
        <v>0</v>
      </c>
      <c r="K4479" s="131">
        <f t="shared" si="260"/>
        <v>353738.52</v>
      </c>
      <c r="L4479" s="134">
        <v>0.1792</v>
      </c>
    </row>
    <row r="4480" spans="3:12">
      <c r="C4480" s="161">
        <f t="shared" si="258"/>
        <v>2020</v>
      </c>
      <c r="D4480" s="35" t="s">
        <v>326</v>
      </c>
      <c r="E4480" s="227">
        <v>44044</v>
      </c>
      <c r="F4480" s="156">
        <v>322181.19</v>
      </c>
      <c r="G4480" s="131">
        <f t="shared" si="259"/>
        <v>57734.869248000003</v>
      </c>
      <c r="H4480" s="156">
        <v>3090.32</v>
      </c>
      <c r="I4480" s="156">
        <v>194981.6</v>
      </c>
      <c r="J4480" s="156">
        <v>0</v>
      </c>
      <c r="K4480" s="131">
        <f t="shared" si="260"/>
        <v>198071.92</v>
      </c>
      <c r="L4480" s="134">
        <v>0.1792</v>
      </c>
    </row>
    <row r="4481" spans="3:12">
      <c r="C4481" s="161">
        <f t="shared" si="258"/>
        <v>2020</v>
      </c>
      <c r="D4481" s="35" t="s">
        <v>326</v>
      </c>
      <c r="E4481" s="227">
        <v>44075</v>
      </c>
      <c r="F4481" s="156">
        <v>352256.1</v>
      </c>
      <c r="G4481" s="131">
        <f t="shared" si="259"/>
        <v>63124.293119999995</v>
      </c>
      <c r="H4481" s="156">
        <v>962.31</v>
      </c>
      <c r="I4481" s="156">
        <v>302388.76</v>
      </c>
      <c r="J4481" s="156">
        <v>0</v>
      </c>
      <c r="K4481" s="131">
        <f t="shared" si="260"/>
        <v>303351.07</v>
      </c>
      <c r="L4481" s="134">
        <v>0.1792</v>
      </c>
    </row>
    <row r="4482" spans="3:12">
      <c r="C4482" s="161">
        <f t="shared" si="258"/>
        <v>2020</v>
      </c>
      <c r="D4482" s="35" t="s">
        <v>326</v>
      </c>
      <c r="E4482" s="227">
        <v>44105</v>
      </c>
      <c r="F4482" s="156">
        <v>362342.82</v>
      </c>
      <c r="G4482" s="131">
        <f t="shared" si="259"/>
        <v>64931.833343999999</v>
      </c>
      <c r="H4482" s="156">
        <v>2416.91</v>
      </c>
      <c r="I4482" s="156">
        <v>246068.39</v>
      </c>
      <c r="J4482" s="156">
        <v>0</v>
      </c>
      <c r="K4482" s="131">
        <f t="shared" si="260"/>
        <v>248485.30000000002</v>
      </c>
      <c r="L4482" s="134">
        <v>0.1792</v>
      </c>
    </row>
    <row r="4483" spans="3:12">
      <c r="C4483" s="161">
        <f t="shared" si="258"/>
        <v>2020</v>
      </c>
      <c r="D4483" s="35" t="s">
        <v>326</v>
      </c>
      <c r="E4483" s="227">
        <v>44136</v>
      </c>
      <c r="F4483" s="156">
        <v>324752.82</v>
      </c>
      <c r="G4483" s="131">
        <f t="shared" si="259"/>
        <v>58195.705344000002</v>
      </c>
      <c r="H4483" s="156">
        <v>1748.26</v>
      </c>
      <c r="I4483" s="156">
        <v>30101.97</v>
      </c>
      <c r="J4483" s="156">
        <v>0</v>
      </c>
      <c r="K4483" s="131">
        <f t="shared" si="260"/>
        <v>31850.23</v>
      </c>
      <c r="L4483" s="134">
        <v>0.1792</v>
      </c>
    </row>
    <row r="4484" spans="3:12">
      <c r="C4484" s="161">
        <f t="shared" ref="C4484:C4547" si="261">YEAR(E4484)</f>
        <v>2020</v>
      </c>
      <c r="D4484" s="35" t="s">
        <v>326</v>
      </c>
      <c r="E4484" s="227">
        <v>44166</v>
      </c>
      <c r="F4484" s="156">
        <v>345523.91</v>
      </c>
      <c r="G4484" s="131">
        <f t="shared" ref="G4484:G4547" si="262">F4484*L4484</f>
        <v>61917.884671999993</v>
      </c>
      <c r="H4484" s="156">
        <v>3561.16</v>
      </c>
      <c r="I4484" s="156">
        <v>56944.800000000003</v>
      </c>
      <c r="J4484" s="156">
        <v>0</v>
      </c>
      <c r="K4484" s="131">
        <f t="shared" ref="K4484:K4547" si="263">SUM(H4484:J4484)</f>
        <v>60505.960000000006</v>
      </c>
      <c r="L4484" s="134">
        <v>0.1792</v>
      </c>
    </row>
    <row r="4485" spans="3:12">
      <c r="C4485" s="161">
        <f t="shared" si="261"/>
        <v>2021</v>
      </c>
      <c r="D4485" s="35" t="s">
        <v>326</v>
      </c>
      <c r="E4485" s="227">
        <v>44197</v>
      </c>
      <c r="F4485" s="156">
        <v>329134.3</v>
      </c>
      <c r="G4485" s="131">
        <f t="shared" si="262"/>
        <v>58980.866559999995</v>
      </c>
      <c r="H4485" s="156">
        <v>4874.5600000000004</v>
      </c>
      <c r="I4485" s="156">
        <v>123063.64</v>
      </c>
      <c r="J4485" s="156">
        <v>0</v>
      </c>
      <c r="K4485" s="131">
        <f t="shared" si="263"/>
        <v>127938.2</v>
      </c>
      <c r="L4485" s="134">
        <v>0.1792</v>
      </c>
    </row>
    <row r="4486" spans="3:12">
      <c r="C4486" s="161">
        <f t="shared" si="261"/>
        <v>2021</v>
      </c>
      <c r="D4486" s="35" t="s">
        <v>326</v>
      </c>
      <c r="E4486" s="227">
        <v>44229</v>
      </c>
      <c r="F4486" s="156">
        <v>320781.92</v>
      </c>
      <c r="G4486" s="131">
        <f t="shared" si="262"/>
        <v>57484.120063999995</v>
      </c>
      <c r="H4486" s="156">
        <v>6714.33</v>
      </c>
      <c r="I4486" s="156">
        <v>109541.46</v>
      </c>
      <c r="J4486" s="156">
        <v>0</v>
      </c>
      <c r="K4486" s="131">
        <f t="shared" si="263"/>
        <v>116255.79000000001</v>
      </c>
      <c r="L4486" s="134">
        <v>0.1792</v>
      </c>
    </row>
    <row r="4487" spans="3:12">
      <c r="C4487" s="161">
        <f t="shared" si="261"/>
        <v>2021</v>
      </c>
      <c r="D4487" s="35" t="s">
        <v>326</v>
      </c>
      <c r="E4487" s="227">
        <v>44258</v>
      </c>
      <c r="F4487" s="156">
        <v>308113.33</v>
      </c>
      <c r="G4487" s="131">
        <f t="shared" si="262"/>
        <v>55213.908736000005</v>
      </c>
      <c r="H4487" s="156">
        <v>111428.21</v>
      </c>
      <c r="I4487" s="156">
        <v>216932.19</v>
      </c>
      <c r="J4487" s="156">
        <v>0</v>
      </c>
      <c r="K4487" s="131">
        <f t="shared" si="263"/>
        <v>328360.40000000002</v>
      </c>
      <c r="L4487" s="134">
        <v>0.1792</v>
      </c>
    </row>
    <row r="4488" spans="3:12">
      <c r="C4488" s="161">
        <f t="shared" si="261"/>
        <v>2021</v>
      </c>
      <c r="D4488" s="35" t="s">
        <v>326</v>
      </c>
      <c r="E4488" s="227">
        <v>44290</v>
      </c>
      <c r="F4488" s="156">
        <v>342670.34</v>
      </c>
      <c r="G4488" s="131">
        <f t="shared" si="262"/>
        <v>61406.524928000006</v>
      </c>
      <c r="H4488" s="156">
        <v>12305.93</v>
      </c>
      <c r="I4488" s="156">
        <v>24611.69</v>
      </c>
      <c r="J4488" s="156">
        <v>0</v>
      </c>
      <c r="K4488" s="131">
        <f t="shared" si="263"/>
        <v>36917.619999999995</v>
      </c>
      <c r="L4488" s="134">
        <v>0.1792</v>
      </c>
    </row>
    <row r="4489" spans="3:12">
      <c r="C4489" s="161">
        <f t="shared" si="261"/>
        <v>2021</v>
      </c>
      <c r="D4489" s="35" t="s">
        <v>326</v>
      </c>
      <c r="E4489" s="227">
        <v>44321</v>
      </c>
      <c r="F4489" s="156">
        <v>327032</v>
      </c>
      <c r="G4489" s="131">
        <f t="shared" si="262"/>
        <v>58604.134400000003</v>
      </c>
      <c r="H4489" s="156">
        <v>5549.14</v>
      </c>
      <c r="I4489" s="156">
        <v>24759.19</v>
      </c>
      <c r="J4489" s="156">
        <v>0</v>
      </c>
      <c r="K4489" s="131">
        <f t="shared" si="263"/>
        <v>30308.329999999998</v>
      </c>
      <c r="L4489" s="134">
        <v>0.1792</v>
      </c>
    </row>
    <row r="4490" spans="3:12">
      <c r="C4490" s="161">
        <f t="shared" si="261"/>
        <v>2021</v>
      </c>
      <c r="D4490" s="35" t="s">
        <v>326</v>
      </c>
      <c r="E4490" s="227">
        <v>44353</v>
      </c>
      <c r="F4490" s="156">
        <v>315310.43</v>
      </c>
      <c r="G4490" s="131">
        <f t="shared" si="262"/>
        <v>56503.629055999998</v>
      </c>
      <c r="H4490" s="156">
        <v>1679.42</v>
      </c>
      <c r="I4490" s="156">
        <v>24693.31</v>
      </c>
      <c r="J4490" s="156">
        <v>0</v>
      </c>
      <c r="K4490" s="131">
        <f t="shared" si="263"/>
        <v>26372.730000000003</v>
      </c>
      <c r="L4490" s="134">
        <v>0.1792</v>
      </c>
    </row>
    <row r="4491" spans="3:12">
      <c r="C4491" s="161">
        <f t="shared" si="261"/>
        <v>2015</v>
      </c>
      <c r="D4491" s="35" t="s">
        <v>327</v>
      </c>
      <c r="E4491" s="227">
        <v>42309</v>
      </c>
      <c r="F4491" s="156">
        <v>2815567.36</v>
      </c>
      <c r="G4491" s="131">
        <f t="shared" si="262"/>
        <v>504549.67091199994</v>
      </c>
      <c r="H4491" s="156">
        <v>348159.1</v>
      </c>
      <c r="I4491" s="156">
        <v>325056.18</v>
      </c>
      <c r="J4491" s="156">
        <v>0</v>
      </c>
      <c r="K4491" s="131">
        <f t="shared" si="263"/>
        <v>673215.28</v>
      </c>
      <c r="L4491" s="134">
        <v>0.1792</v>
      </c>
    </row>
    <row r="4492" spans="3:12">
      <c r="C4492" s="161">
        <f t="shared" si="261"/>
        <v>2015</v>
      </c>
      <c r="D4492" s="35" t="s">
        <v>327</v>
      </c>
      <c r="E4492" s="227">
        <v>42339</v>
      </c>
      <c r="F4492" s="156">
        <v>2529832.42</v>
      </c>
      <c r="G4492" s="131">
        <f t="shared" si="262"/>
        <v>453345.96966399997</v>
      </c>
      <c r="H4492" s="156">
        <v>17021.98</v>
      </c>
      <c r="I4492" s="156">
        <v>340123.81</v>
      </c>
      <c r="J4492" s="156">
        <v>0</v>
      </c>
      <c r="K4492" s="131">
        <f t="shared" si="263"/>
        <v>357145.79</v>
      </c>
      <c r="L4492" s="134">
        <v>0.1792</v>
      </c>
    </row>
    <row r="4493" spans="3:12">
      <c r="C4493" s="161">
        <f t="shared" si="261"/>
        <v>2016</v>
      </c>
      <c r="D4493" s="35" t="s">
        <v>327</v>
      </c>
      <c r="E4493" s="227">
        <v>42370</v>
      </c>
      <c r="F4493" s="156">
        <v>2716649.19</v>
      </c>
      <c r="G4493" s="131">
        <f t="shared" si="262"/>
        <v>486823.53484799998</v>
      </c>
      <c r="H4493" s="156">
        <v>929812.46</v>
      </c>
      <c r="I4493" s="156">
        <v>126750.96</v>
      </c>
      <c r="J4493" s="156">
        <v>0</v>
      </c>
      <c r="K4493" s="131">
        <f t="shared" si="263"/>
        <v>1056563.42</v>
      </c>
      <c r="L4493" s="134">
        <v>0.1792</v>
      </c>
    </row>
    <row r="4494" spans="3:12">
      <c r="C4494" s="161">
        <f t="shared" si="261"/>
        <v>2016</v>
      </c>
      <c r="D4494" s="35" t="s">
        <v>327</v>
      </c>
      <c r="E4494" s="227">
        <v>42401</v>
      </c>
      <c r="F4494" s="156">
        <v>2762528.93</v>
      </c>
      <c r="G4494" s="131">
        <f t="shared" si="262"/>
        <v>495045.18425600004</v>
      </c>
      <c r="H4494" s="156">
        <v>112682.71</v>
      </c>
      <c r="I4494" s="156">
        <v>307415.24</v>
      </c>
      <c r="J4494" s="156">
        <v>0</v>
      </c>
      <c r="K4494" s="131">
        <f t="shared" si="263"/>
        <v>420097.95</v>
      </c>
      <c r="L4494" s="134">
        <v>0.1792</v>
      </c>
    </row>
    <row r="4495" spans="3:12">
      <c r="C4495" s="161">
        <f t="shared" si="261"/>
        <v>2016</v>
      </c>
      <c r="D4495" s="35" t="s">
        <v>327</v>
      </c>
      <c r="E4495" s="227">
        <v>42430</v>
      </c>
      <c r="F4495" s="156">
        <v>2521457.59</v>
      </c>
      <c r="G4495" s="131">
        <f t="shared" si="262"/>
        <v>451845.200128</v>
      </c>
      <c r="H4495" s="156">
        <v>497251.77</v>
      </c>
      <c r="I4495" s="156">
        <v>175242.6</v>
      </c>
      <c r="J4495" s="156">
        <v>0</v>
      </c>
      <c r="K4495" s="131">
        <f t="shared" si="263"/>
        <v>672494.37</v>
      </c>
      <c r="L4495" s="134">
        <v>0.1792</v>
      </c>
    </row>
    <row r="4496" spans="3:12">
      <c r="C4496" s="161">
        <f t="shared" si="261"/>
        <v>2016</v>
      </c>
      <c r="D4496" s="35" t="s">
        <v>327</v>
      </c>
      <c r="E4496" s="227">
        <v>42461</v>
      </c>
      <c r="F4496" s="156">
        <v>2931440.73</v>
      </c>
      <c r="G4496" s="131">
        <f t="shared" si="262"/>
        <v>525314.178816</v>
      </c>
      <c r="H4496" s="156">
        <v>27589.98</v>
      </c>
      <c r="I4496" s="156">
        <v>130538.28</v>
      </c>
      <c r="J4496" s="156">
        <v>2452.98</v>
      </c>
      <c r="K4496" s="131">
        <f t="shared" si="263"/>
        <v>160581.24000000002</v>
      </c>
      <c r="L4496" s="134">
        <v>0.1792</v>
      </c>
    </row>
    <row r="4497" spans="3:12">
      <c r="C4497" s="161">
        <f t="shared" si="261"/>
        <v>2016</v>
      </c>
      <c r="D4497" s="35" t="s">
        <v>327</v>
      </c>
      <c r="E4497" s="227">
        <v>42491</v>
      </c>
      <c r="F4497" s="156">
        <v>2633276.2999999998</v>
      </c>
      <c r="G4497" s="131">
        <f t="shared" si="262"/>
        <v>471883.11295999994</v>
      </c>
      <c r="H4497" s="156">
        <v>864795.33</v>
      </c>
      <c r="I4497" s="156">
        <v>878611.14</v>
      </c>
      <c r="J4497" s="156">
        <v>0</v>
      </c>
      <c r="K4497" s="131">
        <f t="shared" si="263"/>
        <v>1743406.47</v>
      </c>
      <c r="L4497" s="134">
        <v>0.1792</v>
      </c>
    </row>
    <row r="4498" spans="3:12">
      <c r="C4498" s="161">
        <f t="shared" si="261"/>
        <v>2016</v>
      </c>
      <c r="D4498" s="35" t="s">
        <v>327</v>
      </c>
      <c r="E4498" s="227">
        <v>42522</v>
      </c>
      <c r="F4498" s="156">
        <v>2413376.41</v>
      </c>
      <c r="G4498" s="131">
        <f t="shared" si="262"/>
        <v>432477.05267200002</v>
      </c>
      <c r="H4498" s="156">
        <v>311750.26</v>
      </c>
      <c r="I4498" s="156">
        <v>187378.85</v>
      </c>
      <c r="J4498" s="156">
        <v>52059.88</v>
      </c>
      <c r="K4498" s="131">
        <f t="shared" si="263"/>
        <v>551188.99</v>
      </c>
      <c r="L4498" s="134">
        <v>0.1792</v>
      </c>
    </row>
    <row r="4499" spans="3:12">
      <c r="C4499" s="161">
        <f t="shared" si="261"/>
        <v>2016</v>
      </c>
      <c r="D4499" s="35" t="s">
        <v>327</v>
      </c>
      <c r="E4499" s="227">
        <v>42552</v>
      </c>
      <c r="F4499" s="156">
        <v>2885456.69</v>
      </c>
      <c r="G4499" s="131">
        <f t="shared" si="262"/>
        <v>517073.83884799998</v>
      </c>
      <c r="H4499" s="156">
        <v>397994.31</v>
      </c>
      <c r="I4499" s="156">
        <v>430501.11</v>
      </c>
      <c r="J4499" s="156">
        <v>1740.06</v>
      </c>
      <c r="K4499" s="131">
        <f t="shared" si="263"/>
        <v>830235.48</v>
      </c>
      <c r="L4499" s="134">
        <v>0.1792</v>
      </c>
    </row>
    <row r="4500" spans="3:12">
      <c r="C4500" s="161">
        <f t="shared" si="261"/>
        <v>2016</v>
      </c>
      <c r="D4500" s="35" t="s">
        <v>327</v>
      </c>
      <c r="E4500" s="227">
        <v>42583</v>
      </c>
      <c r="F4500" s="156">
        <v>3023515.36</v>
      </c>
      <c r="G4500" s="131">
        <f t="shared" si="262"/>
        <v>541813.95251199999</v>
      </c>
      <c r="H4500" s="156">
        <v>225771.77</v>
      </c>
      <c r="I4500" s="156">
        <v>372753.69</v>
      </c>
      <c r="J4500" s="156">
        <v>2700</v>
      </c>
      <c r="K4500" s="131">
        <f t="shared" si="263"/>
        <v>601225.46</v>
      </c>
      <c r="L4500" s="134">
        <v>0.1792</v>
      </c>
    </row>
    <row r="4501" spans="3:12">
      <c r="C4501" s="161">
        <f t="shared" si="261"/>
        <v>2016</v>
      </c>
      <c r="D4501" s="35" t="s">
        <v>327</v>
      </c>
      <c r="E4501" s="227">
        <v>42614</v>
      </c>
      <c r="F4501" s="156">
        <v>2918943.56</v>
      </c>
      <c r="G4501" s="131">
        <f t="shared" si="262"/>
        <v>523074.68595200003</v>
      </c>
      <c r="H4501" s="156">
        <v>2989256.29</v>
      </c>
      <c r="I4501" s="156">
        <v>1633532.58</v>
      </c>
      <c r="J4501" s="156">
        <v>5168.46</v>
      </c>
      <c r="K4501" s="131">
        <f t="shared" si="263"/>
        <v>4627957.33</v>
      </c>
      <c r="L4501" s="134">
        <v>0.1792</v>
      </c>
    </row>
    <row r="4502" spans="3:12">
      <c r="C4502" s="161">
        <f t="shared" si="261"/>
        <v>2016</v>
      </c>
      <c r="D4502" s="35" t="s">
        <v>327</v>
      </c>
      <c r="E4502" s="227">
        <v>42644</v>
      </c>
      <c r="F4502" s="156">
        <v>3141450.37</v>
      </c>
      <c r="G4502" s="131">
        <f t="shared" si="262"/>
        <v>562947.90630400006</v>
      </c>
      <c r="H4502" s="156">
        <v>2301413.0699999998</v>
      </c>
      <c r="I4502" s="156">
        <v>213101.65</v>
      </c>
      <c r="J4502" s="156">
        <v>35858</v>
      </c>
      <c r="K4502" s="131">
        <f t="shared" si="263"/>
        <v>2550372.7199999997</v>
      </c>
      <c r="L4502" s="134">
        <v>0.1792</v>
      </c>
    </row>
    <row r="4503" spans="3:12">
      <c r="C4503" s="161">
        <f t="shared" si="261"/>
        <v>2016</v>
      </c>
      <c r="D4503" s="35" t="s">
        <v>327</v>
      </c>
      <c r="E4503" s="227">
        <v>42675</v>
      </c>
      <c r="F4503" s="156">
        <v>3229356.29</v>
      </c>
      <c r="G4503" s="131">
        <f t="shared" si="262"/>
        <v>578700.647168</v>
      </c>
      <c r="H4503" s="156">
        <v>168446.68</v>
      </c>
      <c r="I4503" s="156">
        <v>869114.67</v>
      </c>
      <c r="J4503" s="156">
        <v>0</v>
      </c>
      <c r="K4503" s="131">
        <f t="shared" si="263"/>
        <v>1037561.3500000001</v>
      </c>
      <c r="L4503" s="134">
        <v>0.1792</v>
      </c>
    </row>
    <row r="4504" spans="3:12">
      <c r="C4504" s="161">
        <f t="shared" si="261"/>
        <v>2016</v>
      </c>
      <c r="D4504" s="35" t="s">
        <v>327</v>
      </c>
      <c r="E4504" s="227">
        <v>42705</v>
      </c>
      <c r="F4504" s="156">
        <v>3379295.5</v>
      </c>
      <c r="G4504" s="131">
        <f t="shared" si="262"/>
        <v>605569.75359999994</v>
      </c>
      <c r="H4504" s="156">
        <v>1295028.33</v>
      </c>
      <c r="I4504" s="156">
        <v>1135412.3400000001</v>
      </c>
      <c r="J4504" s="156">
        <v>16870.54</v>
      </c>
      <c r="K4504" s="131">
        <f t="shared" si="263"/>
        <v>2447311.21</v>
      </c>
      <c r="L4504" s="134">
        <v>0.1792</v>
      </c>
    </row>
    <row r="4505" spans="3:12">
      <c r="C4505" s="161">
        <f t="shared" si="261"/>
        <v>2017</v>
      </c>
      <c r="D4505" s="35" t="s">
        <v>327</v>
      </c>
      <c r="E4505" s="227">
        <v>42736</v>
      </c>
      <c r="F4505" s="156">
        <v>3395130.46</v>
      </c>
      <c r="G4505" s="131">
        <f t="shared" si="262"/>
        <v>608407.37843199994</v>
      </c>
      <c r="H4505" s="156">
        <v>358976.41</v>
      </c>
      <c r="I4505" s="156">
        <v>849431.98</v>
      </c>
      <c r="J4505" s="156">
        <v>237514.46</v>
      </c>
      <c r="K4505" s="131">
        <f t="shared" si="263"/>
        <v>1445922.8499999999</v>
      </c>
      <c r="L4505" s="134">
        <v>0.1792</v>
      </c>
    </row>
    <row r="4506" spans="3:12">
      <c r="C4506" s="161">
        <f t="shared" si="261"/>
        <v>2017</v>
      </c>
      <c r="D4506" s="35" t="s">
        <v>327</v>
      </c>
      <c r="E4506" s="227">
        <v>42767</v>
      </c>
      <c r="F4506" s="156">
        <v>3150522.52</v>
      </c>
      <c r="G4506" s="131">
        <f t="shared" si="262"/>
        <v>564573.63558400003</v>
      </c>
      <c r="H4506" s="156">
        <v>120677.11</v>
      </c>
      <c r="I4506" s="156">
        <v>439507.58</v>
      </c>
      <c r="J4506" s="156">
        <v>14809.4</v>
      </c>
      <c r="K4506" s="131">
        <f t="shared" si="263"/>
        <v>574994.09000000008</v>
      </c>
      <c r="L4506" s="134">
        <v>0.1792</v>
      </c>
    </row>
    <row r="4507" spans="3:12">
      <c r="C4507" s="161">
        <f t="shared" si="261"/>
        <v>2017</v>
      </c>
      <c r="D4507" s="35" t="s">
        <v>327</v>
      </c>
      <c r="E4507" s="227">
        <v>42795</v>
      </c>
      <c r="F4507" s="156">
        <v>3103121.5264499998</v>
      </c>
      <c r="G4507" s="131">
        <f t="shared" si="262"/>
        <v>556079.37753983994</v>
      </c>
      <c r="H4507" s="156">
        <v>548016.31000000006</v>
      </c>
      <c r="I4507" s="156">
        <v>724693.93</v>
      </c>
      <c r="J4507" s="156">
        <v>85605.04</v>
      </c>
      <c r="K4507" s="131">
        <f t="shared" si="263"/>
        <v>1358315.2800000003</v>
      </c>
      <c r="L4507" s="134">
        <v>0.1792</v>
      </c>
    </row>
    <row r="4508" spans="3:12">
      <c r="C4508" s="161">
        <f t="shared" si="261"/>
        <v>2017</v>
      </c>
      <c r="D4508" s="35" t="s">
        <v>327</v>
      </c>
      <c r="E4508" s="227">
        <v>42826</v>
      </c>
      <c r="F4508" s="156">
        <v>3041454.13</v>
      </c>
      <c r="G4508" s="131">
        <f t="shared" si="262"/>
        <v>545028.58009599999</v>
      </c>
      <c r="H4508" s="156">
        <v>404530.25</v>
      </c>
      <c r="I4508" s="156">
        <v>418960.51</v>
      </c>
      <c r="J4508" s="156">
        <v>0</v>
      </c>
      <c r="K4508" s="131">
        <f t="shared" si="263"/>
        <v>823490.76</v>
      </c>
      <c r="L4508" s="134">
        <v>0.1792</v>
      </c>
    </row>
    <row r="4509" spans="3:12">
      <c r="C4509" s="161">
        <f t="shared" si="261"/>
        <v>2017</v>
      </c>
      <c r="D4509" s="35" t="s">
        <v>327</v>
      </c>
      <c r="E4509" s="227">
        <v>42856</v>
      </c>
      <c r="F4509" s="156">
        <v>2852091.8</v>
      </c>
      <c r="G4509" s="131">
        <f t="shared" si="262"/>
        <v>511094.85055999993</v>
      </c>
      <c r="H4509" s="156">
        <v>731321.26</v>
      </c>
      <c r="I4509" s="156">
        <v>3448498.65</v>
      </c>
      <c r="J4509" s="156">
        <v>943.74</v>
      </c>
      <c r="K4509" s="131">
        <f t="shared" si="263"/>
        <v>4180763.6500000004</v>
      </c>
      <c r="L4509" s="134">
        <v>0.1792</v>
      </c>
    </row>
    <row r="4510" spans="3:12">
      <c r="C4510" s="161">
        <f t="shared" si="261"/>
        <v>2017</v>
      </c>
      <c r="D4510" s="35" t="s">
        <v>327</v>
      </c>
      <c r="E4510" s="227">
        <v>42887</v>
      </c>
      <c r="F4510" s="156">
        <v>2976067.18</v>
      </c>
      <c r="G4510" s="131">
        <f t="shared" si="262"/>
        <v>533311.238656</v>
      </c>
      <c r="H4510" s="156">
        <v>576440</v>
      </c>
      <c r="I4510" s="156">
        <v>541001.54</v>
      </c>
      <c r="J4510" s="156">
        <v>560</v>
      </c>
      <c r="K4510" s="131">
        <f t="shared" si="263"/>
        <v>1118001.54</v>
      </c>
      <c r="L4510" s="134">
        <v>0.1792</v>
      </c>
    </row>
    <row r="4511" spans="3:12">
      <c r="C4511" s="161">
        <f t="shared" si="261"/>
        <v>2017</v>
      </c>
      <c r="D4511" s="35" t="s">
        <v>327</v>
      </c>
      <c r="E4511" s="227">
        <v>42917</v>
      </c>
      <c r="F4511" s="156">
        <v>3015328.52</v>
      </c>
      <c r="G4511" s="131">
        <f t="shared" si="262"/>
        <v>540346.87078400003</v>
      </c>
      <c r="H4511" s="156">
        <v>76546.210000000006</v>
      </c>
      <c r="I4511" s="156">
        <v>488666.4</v>
      </c>
      <c r="J4511" s="156">
        <v>0</v>
      </c>
      <c r="K4511" s="131">
        <f t="shared" si="263"/>
        <v>565212.61</v>
      </c>
      <c r="L4511" s="134">
        <v>0.1792</v>
      </c>
    </row>
    <row r="4512" spans="3:12">
      <c r="C4512" s="161">
        <f t="shared" si="261"/>
        <v>2017</v>
      </c>
      <c r="D4512" s="35" t="s">
        <v>327</v>
      </c>
      <c r="E4512" s="227">
        <v>42948</v>
      </c>
      <c r="F4512" s="156">
        <v>3299723.47</v>
      </c>
      <c r="G4512" s="131">
        <f t="shared" si="262"/>
        <v>591310.44582400005</v>
      </c>
      <c r="H4512" s="156">
        <v>717673.8</v>
      </c>
      <c r="I4512" s="156">
        <v>1876566</v>
      </c>
      <c r="J4512" s="156">
        <v>397.31</v>
      </c>
      <c r="K4512" s="131">
        <f t="shared" si="263"/>
        <v>2594637.11</v>
      </c>
      <c r="L4512" s="134">
        <v>0.1792</v>
      </c>
    </row>
    <row r="4513" spans="3:12">
      <c r="C4513" s="161">
        <f t="shared" si="261"/>
        <v>2017</v>
      </c>
      <c r="D4513" s="35" t="s">
        <v>327</v>
      </c>
      <c r="E4513" s="227">
        <v>42979</v>
      </c>
      <c r="F4513" s="156">
        <v>3599164.57</v>
      </c>
      <c r="G4513" s="131">
        <f t="shared" si="262"/>
        <v>644970.29094400001</v>
      </c>
      <c r="H4513" s="156">
        <v>174278.97</v>
      </c>
      <c r="I4513" s="156">
        <v>144484.49</v>
      </c>
      <c r="J4513" s="156">
        <v>6500</v>
      </c>
      <c r="K4513" s="131">
        <f t="shared" si="263"/>
        <v>325263.45999999996</v>
      </c>
      <c r="L4513" s="134">
        <v>0.1792</v>
      </c>
    </row>
    <row r="4514" spans="3:12">
      <c r="C4514" s="161">
        <f t="shared" si="261"/>
        <v>2017</v>
      </c>
      <c r="D4514" s="35" t="s">
        <v>327</v>
      </c>
      <c r="E4514" s="227">
        <v>43009</v>
      </c>
      <c r="F4514" s="156">
        <v>3391900.25</v>
      </c>
      <c r="G4514" s="131">
        <f t="shared" si="262"/>
        <v>607828.52480000001</v>
      </c>
      <c r="H4514" s="156">
        <v>340835.31</v>
      </c>
      <c r="I4514" s="156">
        <v>891815.02</v>
      </c>
      <c r="J4514" s="156">
        <v>6000</v>
      </c>
      <c r="K4514" s="131">
        <f t="shared" si="263"/>
        <v>1238650.33</v>
      </c>
      <c r="L4514" s="134">
        <v>0.1792</v>
      </c>
    </row>
    <row r="4515" spans="3:12">
      <c r="C4515" s="161">
        <f t="shared" si="261"/>
        <v>2017</v>
      </c>
      <c r="D4515" s="35" t="s">
        <v>327</v>
      </c>
      <c r="E4515" s="227">
        <v>43040</v>
      </c>
      <c r="F4515" s="156">
        <v>3307199.33</v>
      </c>
      <c r="G4515" s="131">
        <f t="shared" si="262"/>
        <v>592650.11993599997</v>
      </c>
      <c r="H4515" s="156">
        <v>111037.08</v>
      </c>
      <c r="I4515" s="156">
        <v>335557.08</v>
      </c>
      <c r="J4515" s="156">
        <v>2176.63</v>
      </c>
      <c r="K4515" s="131">
        <f t="shared" si="263"/>
        <v>448770.79000000004</v>
      </c>
      <c r="L4515" s="134">
        <v>0.1792</v>
      </c>
    </row>
    <row r="4516" spans="3:12">
      <c r="C4516" s="161">
        <f t="shared" si="261"/>
        <v>2017</v>
      </c>
      <c r="D4516" s="35" t="s">
        <v>327</v>
      </c>
      <c r="E4516" s="227">
        <v>43070</v>
      </c>
      <c r="F4516" s="156">
        <v>3343146.04</v>
      </c>
      <c r="G4516" s="131">
        <f t="shared" si="262"/>
        <v>599091.77036800003</v>
      </c>
      <c r="H4516" s="156">
        <v>3173252.44</v>
      </c>
      <c r="I4516" s="156">
        <v>1719935.02</v>
      </c>
      <c r="J4516" s="156">
        <v>2853.33</v>
      </c>
      <c r="K4516" s="131">
        <f t="shared" si="263"/>
        <v>4896040.79</v>
      </c>
      <c r="L4516" s="134">
        <v>0.1792</v>
      </c>
    </row>
    <row r="4517" spans="3:12">
      <c r="C4517" s="161">
        <f t="shared" si="261"/>
        <v>2018</v>
      </c>
      <c r="D4517" s="35" t="s">
        <v>327</v>
      </c>
      <c r="E4517" s="227">
        <v>43101</v>
      </c>
      <c r="F4517" s="156">
        <v>3158585.72</v>
      </c>
      <c r="G4517" s="131">
        <f t="shared" si="262"/>
        <v>566018.56102400005</v>
      </c>
      <c r="H4517" s="156">
        <v>196389.19</v>
      </c>
      <c r="I4517" s="156">
        <v>982485.02</v>
      </c>
      <c r="J4517" s="156">
        <v>0</v>
      </c>
      <c r="K4517" s="131">
        <f t="shared" si="263"/>
        <v>1178874.21</v>
      </c>
      <c r="L4517" s="134">
        <v>0.1792</v>
      </c>
    </row>
    <row r="4518" spans="3:12">
      <c r="C4518" s="161">
        <f t="shared" si="261"/>
        <v>2018</v>
      </c>
      <c r="D4518" s="35" t="s">
        <v>327</v>
      </c>
      <c r="E4518" s="227">
        <v>43132</v>
      </c>
      <c r="F4518" s="156">
        <v>3411178.26</v>
      </c>
      <c r="G4518" s="131">
        <f t="shared" si="262"/>
        <v>611283.14419199992</v>
      </c>
      <c r="H4518" s="156">
        <v>1756404.79</v>
      </c>
      <c r="I4518" s="156">
        <v>1601093.28</v>
      </c>
      <c r="J4518" s="156">
        <v>2713.41</v>
      </c>
      <c r="K4518" s="131">
        <f t="shared" si="263"/>
        <v>3360211.4800000004</v>
      </c>
      <c r="L4518" s="134">
        <v>0.1792</v>
      </c>
    </row>
    <row r="4519" spans="3:12">
      <c r="C4519" s="161">
        <f t="shared" si="261"/>
        <v>2018</v>
      </c>
      <c r="D4519" s="35" t="s">
        <v>327</v>
      </c>
      <c r="E4519" s="227">
        <v>43160</v>
      </c>
      <c r="F4519" s="156">
        <v>3151100.16</v>
      </c>
      <c r="G4519" s="131">
        <f t="shared" si="262"/>
        <v>564677.14867200004</v>
      </c>
      <c r="H4519" s="156">
        <v>1343900.75</v>
      </c>
      <c r="I4519" s="156">
        <v>1648476.05</v>
      </c>
      <c r="J4519" s="156">
        <v>0</v>
      </c>
      <c r="K4519" s="131">
        <f t="shared" si="263"/>
        <v>2992376.8</v>
      </c>
      <c r="L4519" s="134">
        <v>0.1792</v>
      </c>
    </row>
    <row r="4520" spans="3:12">
      <c r="C4520" s="161">
        <f t="shared" si="261"/>
        <v>2018</v>
      </c>
      <c r="D4520" s="35" t="s">
        <v>327</v>
      </c>
      <c r="E4520" s="227">
        <v>43191</v>
      </c>
      <c r="F4520" s="156">
        <v>3597673.85</v>
      </c>
      <c r="G4520" s="131">
        <f t="shared" si="262"/>
        <v>644703.15391999995</v>
      </c>
      <c r="H4520" s="156">
        <v>961569.42</v>
      </c>
      <c r="I4520" s="156">
        <v>489232.36</v>
      </c>
      <c r="J4520" s="156">
        <v>7323.6</v>
      </c>
      <c r="K4520" s="131">
        <f t="shared" si="263"/>
        <v>1458125.3800000001</v>
      </c>
      <c r="L4520" s="134">
        <v>0.1792</v>
      </c>
    </row>
    <row r="4521" spans="3:12">
      <c r="C4521" s="161">
        <f t="shared" si="261"/>
        <v>2018</v>
      </c>
      <c r="D4521" s="35" t="s">
        <v>327</v>
      </c>
      <c r="E4521" s="227">
        <v>43221</v>
      </c>
      <c r="F4521" s="156">
        <v>3396392.52</v>
      </c>
      <c r="G4521" s="131">
        <f t="shared" si="262"/>
        <v>608633.53958400001</v>
      </c>
      <c r="H4521" s="156">
        <v>483569.37</v>
      </c>
      <c r="I4521" s="156">
        <v>1281422.72</v>
      </c>
      <c r="J4521" s="156">
        <v>0</v>
      </c>
      <c r="K4521" s="131">
        <f t="shared" si="263"/>
        <v>1764992.0899999999</v>
      </c>
      <c r="L4521" s="134">
        <v>0.1792</v>
      </c>
    </row>
    <row r="4522" spans="3:12">
      <c r="C4522" s="161">
        <f t="shared" si="261"/>
        <v>2018</v>
      </c>
      <c r="D4522" s="35" t="s">
        <v>327</v>
      </c>
      <c r="E4522" s="227">
        <v>43252</v>
      </c>
      <c r="F4522" s="156">
        <v>3436582.89</v>
      </c>
      <c r="G4522" s="131">
        <f t="shared" si="262"/>
        <v>615835.65388800006</v>
      </c>
      <c r="H4522" s="156">
        <v>274265.8</v>
      </c>
      <c r="I4522" s="156">
        <v>643570.81000000006</v>
      </c>
      <c r="J4522" s="156">
        <v>0</v>
      </c>
      <c r="K4522" s="131">
        <f t="shared" si="263"/>
        <v>917836.6100000001</v>
      </c>
      <c r="L4522" s="134">
        <v>0.1792</v>
      </c>
    </row>
    <row r="4523" spans="3:12">
      <c r="C4523" s="161">
        <f t="shared" si="261"/>
        <v>2018</v>
      </c>
      <c r="D4523" s="35" t="s">
        <v>327</v>
      </c>
      <c r="E4523" s="227">
        <v>43282</v>
      </c>
      <c r="F4523" s="156">
        <v>3287611.97</v>
      </c>
      <c r="G4523" s="131">
        <f t="shared" si="262"/>
        <v>589140.06502400001</v>
      </c>
      <c r="H4523" s="156">
        <v>1886654.86</v>
      </c>
      <c r="I4523" s="156">
        <v>314148.96000000002</v>
      </c>
      <c r="J4523" s="156">
        <v>1200</v>
      </c>
      <c r="K4523" s="131">
        <f t="shared" si="263"/>
        <v>2202003.8200000003</v>
      </c>
      <c r="L4523" s="134">
        <v>0.1792</v>
      </c>
    </row>
    <row r="4524" spans="3:12">
      <c r="C4524" s="161">
        <f t="shared" si="261"/>
        <v>2018</v>
      </c>
      <c r="D4524" s="35" t="s">
        <v>327</v>
      </c>
      <c r="E4524" s="227">
        <v>43313</v>
      </c>
      <c r="F4524" s="156">
        <v>3331011.63</v>
      </c>
      <c r="G4524" s="131">
        <f t="shared" si="262"/>
        <v>596917.28409600002</v>
      </c>
      <c r="H4524" s="156">
        <v>2054428.56</v>
      </c>
      <c r="I4524" s="156">
        <v>400152.39</v>
      </c>
      <c r="J4524" s="156">
        <v>0</v>
      </c>
      <c r="K4524" s="131">
        <f t="shared" si="263"/>
        <v>2454580.9500000002</v>
      </c>
      <c r="L4524" s="134">
        <v>0.1792</v>
      </c>
    </row>
    <row r="4525" spans="3:12">
      <c r="C4525" s="161">
        <f t="shared" si="261"/>
        <v>2018</v>
      </c>
      <c r="D4525" s="35" t="s">
        <v>327</v>
      </c>
      <c r="E4525" s="227">
        <v>43344</v>
      </c>
      <c r="F4525" s="156">
        <v>3508076.88</v>
      </c>
      <c r="G4525" s="131">
        <f t="shared" si="262"/>
        <v>628647.376896</v>
      </c>
      <c r="H4525" s="156">
        <v>1589447.15</v>
      </c>
      <c r="I4525" s="156">
        <v>884580.42</v>
      </c>
      <c r="J4525" s="156">
        <v>43273.78</v>
      </c>
      <c r="K4525" s="131">
        <f t="shared" si="263"/>
        <v>2517301.3499999996</v>
      </c>
      <c r="L4525" s="134">
        <v>0.1792</v>
      </c>
    </row>
    <row r="4526" spans="3:12">
      <c r="C4526" s="161">
        <f t="shared" si="261"/>
        <v>2018</v>
      </c>
      <c r="D4526" s="35" t="s">
        <v>327</v>
      </c>
      <c r="E4526" s="227">
        <v>43374</v>
      </c>
      <c r="F4526" s="156">
        <v>3483262.6</v>
      </c>
      <c r="G4526" s="131">
        <f t="shared" si="262"/>
        <v>624200.65792000003</v>
      </c>
      <c r="H4526" s="156">
        <v>935648.2</v>
      </c>
      <c r="I4526" s="156">
        <v>914888.46</v>
      </c>
      <c r="J4526" s="156">
        <v>0</v>
      </c>
      <c r="K4526" s="131">
        <f t="shared" si="263"/>
        <v>1850536.66</v>
      </c>
      <c r="L4526" s="134">
        <v>0.1792</v>
      </c>
    </row>
    <row r="4527" spans="3:12">
      <c r="C4527" s="161">
        <f t="shared" si="261"/>
        <v>2018</v>
      </c>
      <c r="D4527" s="35" t="s">
        <v>327</v>
      </c>
      <c r="E4527" s="227">
        <v>43405</v>
      </c>
      <c r="F4527" s="156">
        <v>3536148.9000749998</v>
      </c>
      <c r="G4527" s="131">
        <f t="shared" si="262"/>
        <v>633677.88289343996</v>
      </c>
      <c r="H4527" s="156">
        <v>2365059.36</v>
      </c>
      <c r="I4527" s="156">
        <v>862048.12</v>
      </c>
      <c r="J4527" s="156">
        <v>97171.839999999997</v>
      </c>
      <c r="K4527" s="131">
        <f t="shared" si="263"/>
        <v>3324279.32</v>
      </c>
      <c r="L4527" s="134">
        <v>0.1792</v>
      </c>
    </row>
    <row r="4528" spans="3:12">
      <c r="C4528" s="161">
        <f t="shared" si="261"/>
        <v>2018</v>
      </c>
      <c r="D4528" s="35" t="s">
        <v>327</v>
      </c>
      <c r="E4528" s="227">
        <v>43435</v>
      </c>
      <c r="F4528" s="156">
        <v>3660349.45</v>
      </c>
      <c r="G4528" s="131">
        <f t="shared" si="262"/>
        <v>655934.62144000002</v>
      </c>
      <c r="H4528" s="156">
        <v>722109.43999999994</v>
      </c>
      <c r="I4528" s="156">
        <v>818163.16</v>
      </c>
      <c r="J4528" s="156">
        <v>0</v>
      </c>
      <c r="K4528" s="131">
        <f t="shared" si="263"/>
        <v>1540272.6</v>
      </c>
      <c r="L4528" s="134">
        <v>0.1792</v>
      </c>
    </row>
    <row r="4529" spans="3:12">
      <c r="C4529" s="161">
        <f t="shared" si="261"/>
        <v>2019</v>
      </c>
      <c r="D4529" s="35" t="s">
        <v>327</v>
      </c>
      <c r="E4529" s="227">
        <v>43466</v>
      </c>
      <c r="F4529" s="156">
        <v>3841958.68</v>
      </c>
      <c r="G4529" s="131">
        <f t="shared" si="262"/>
        <v>688478.99545599998</v>
      </c>
      <c r="H4529" s="156">
        <v>1123841.3999999999</v>
      </c>
      <c r="I4529" s="156">
        <v>319710.14</v>
      </c>
      <c r="J4529" s="156">
        <v>0</v>
      </c>
      <c r="K4529" s="131">
        <f t="shared" si="263"/>
        <v>1443551.54</v>
      </c>
      <c r="L4529" s="134">
        <v>0.1792</v>
      </c>
    </row>
    <row r="4530" spans="3:12">
      <c r="C4530" s="161">
        <f t="shared" si="261"/>
        <v>2019</v>
      </c>
      <c r="D4530" s="35" t="s">
        <v>327</v>
      </c>
      <c r="E4530" s="227">
        <v>43497</v>
      </c>
      <c r="F4530" s="156">
        <v>3749026.47</v>
      </c>
      <c r="G4530" s="131">
        <f t="shared" si="262"/>
        <v>671825.54342400003</v>
      </c>
      <c r="H4530" s="156">
        <v>1511460.22</v>
      </c>
      <c r="I4530" s="156">
        <v>521352.61</v>
      </c>
      <c r="J4530" s="156">
        <v>0</v>
      </c>
      <c r="K4530" s="131">
        <f t="shared" si="263"/>
        <v>2032812.83</v>
      </c>
      <c r="L4530" s="134">
        <v>0.1792</v>
      </c>
    </row>
    <row r="4531" spans="3:12">
      <c r="C4531" s="161">
        <f t="shared" si="261"/>
        <v>2019</v>
      </c>
      <c r="D4531" s="35" t="s">
        <v>327</v>
      </c>
      <c r="E4531" s="227">
        <v>43525</v>
      </c>
      <c r="F4531" s="156">
        <v>3152199.91</v>
      </c>
      <c r="G4531" s="131">
        <f t="shared" si="262"/>
        <v>564874.223872</v>
      </c>
      <c r="H4531" s="156">
        <v>215183.33</v>
      </c>
      <c r="I4531" s="156">
        <v>405850.47</v>
      </c>
      <c r="J4531" s="156">
        <v>5059.92</v>
      </c>
      <c r="K4531" s="131">
        <f t="shared" si="263"/>
        <v>626093.72</v>
      </c>
      <c r="L4531" s="134">
        <v>0.1792</v>
      </c>
    </row>
    <row r="4532" spans="3:12">
      <c r="C4532" s="161">
        <f t="shared" si="261"/>
        <v>2019</v>
      </c>
      <c r="D4532" s="35" t="s">
        <v>327</v>
      </c>
      <c r="E4532" s="227">
        <v>43556</v>
      </c>
      <c r="F4532" s="156">
        <v>3614776.12</v>
      </c>
      <c r="G4532" s="131">
        <f t="shared" si="262"/>
        <v>647767.88070400001</v>
      </c>
      <c r="H4532" s="156">
        <v>599659.31000000006</v>
      </c>
      <c r="I4532" s="156">
        <v>681324.48</v>
      </c>
      <c r="J4532" s="156">
        <v>19229.73</v>
      </c>
      <c r="K4532" s="131">
        <f t="shared" si="263"/>
        <v>1300213.52</v>
      </c>
      <c r="L4532" s="134">
        <v>0.1792</v>
      </c>
    </row>
    <row r="4533" spans="3:12">
      <c r="C4533" s="161">
        <f t="shared" si="261"/>
        <v>2019</v>
      </c>
      <c r="D4533" s="35" t="s">
        <v>327</v>
      </c>
      <c r="E4533" s="227">
        <v>43586</v>
      </c>
      <c r="F4533" s="156">
        <v>3520651.01</v>
      </c>
      <c r="G4533" s="131">
        <f t="shared" si="262"/>
        <v>630900.6609919999</v>
      </c>
      <c r="H4533" s="156">
        <v>1011813.83</v>
      </c>
      <c r="I4533" s="156">
        <v>168351.52</v>
      </c>
      <c r="J4533" s="156">
        <v>0</v>
      </c>
      <c r="K4533" s="131">
        <f t="shared" si="263"/>
        <v>1180165.3499999999</v>
      </c>
      <c r="L4533" s="134">
        <v>0.1792</v>
      </c>
    </row>
    <row r="4534" spans="3:12">
      <c r="C4534" s="161">
        <f t="shared" si="261"/>
        <v>2019</v>
      </c>
      <c r="D4534" s="35" t="s">
        <v>327</v>
      </c>
      <c r="E4534" s="227">
        <v>43617</v>
      </c>
      <c r="F4534" s="156">
        <v>3339350.19</v>
      </c>
      <c r="G4534" s="131">
        <f t="shared" si="262"/>
        <v>598411.55404800002</v>
      </c>
      <c r="H4534" s="156">
        <v>171532.83</v>
      </c>
      <c r="I4534" s="156">
        <v>1734336.96</v>
      </c>
      <c r="J4534" s="156">
        <v>0</v>
      </c>
      <c r="K4534" s="131">
        <f t="shared" si="263"/>
        <v>1905869.79</v>
      </c>
      <c r="L4534" s="134">
        <v>0.1792</v>
      </c>
    </row>
    <row r="4535" spans="3:12">
      <c r="C4535" s="161">
        <f t="shared" si="261"/>
        <v>2019</v>
      </c>
      <c r="D4535" s="35" t="s">
        <v>327</v>
      </c>
      <c r="E4535" s="227">
        <v>43647</v>
      </c>
      <c r="F4535" s="156">
        <v>3341972.4</v>
      </c>
      <c r="G4535" s="131">
        <f t="shared" si="262"/>
        <v>598881.45407999994</v>
      </c>
      <c r="H4535" s="156">
        <v>778702.86</v>
      </c>
      <c r="I4535" s="156">
        <v>1294523.96</v>
      </c>
      <c r="J4535" s="156">
        <v>5106.3900000000003</v>
      </c>
      <c r="K4535" s="131">
        <f t="shared" si="263"/>
        <v>2078333.2099999997</v>
      </c>
      <c r="L4535" s="134">
        <v>0.1792</v>
      </c>
    </row>
    <row r="4536" spans="3:12">
      <c r="C4536" s="161">
        <f t="shared" si="261"/>
        <v>2019</v>
      </c>
      <c r="D4536" s="35" t="s">
        <v>327</v>
      </c>
      <c r="E4536" s="227">
        <v>43678</v>
      </c>
      <c r="F4536" s="156">
        <v>3542694.66</v>
      </c>
      <c r="G4536" s="131">
        <f t="shared" si="262"/>
        <v>634850.883072</v>
      </c>
      <c r="H4536" s="156">
        <v>1433610.81</v>
      </c>
      <c r="I4536" s="156">
        <v>784688.63</v>
      </c>
      <c r="J4536" s="156">
        <v>0</v>
      </c>
      <c r="K4536" s="131">
        <f t="shared" si="263"/>
        <v>2218299.44</v>
      </c>
      <c r="L4536" s="134">
        <v>0.1792</v>
      </c>
    </row>
    <row r="4537" spans="3:12">
      <c r="C4537" s="161">
        <f t="shared" si="261"/>
        <v>2019</v>
      </c>
      <c r="D4537" s="35" t="s">
        <v>327</v>
      </c>
      <c r="E4537" s="227">
        <v>43709</v>
      </c>
      <c r="F4537" s="156">
        <v>4119470.04</v>
      </c>
      <c r="G4537" s="131">
        <f t="shared" si="262"/>
        <v>738209.03116799996</v>
      </c>
      <c r="H4537" s="156">
        <v>196262.15</v>
      </c>
      <c r="I4537" s="156">
        <v>755513.1</v>
      </c>
      <c r="J4537" s="156">
        <v>11840.26</v>
      </c>
      <c r="K4537" s="131">
        <f t="shared" si="263"/>
        <v>963615.51</v>
      </c>
      <c r="L4537" s="134">
        <v>0.1792</v>
      </c>
    </row>
    <row r="4538" spans="3:12">
      <c r="C4538" s="161">
        <f t="shared" si="261"/>
        <v>2019</v>
      </c>
      <c r="D4538" s="35" t="s">
        <v>327</v>
      </c>
      <c r="E4538" s="227">
        <v>43739</v>
      </c>
      <c r="F4538" s="156">
        <v>4187280.89</v>
      </c>
      <c r="G4538" s="131">
        <f t="shared" si="262"/>
        <v>750360.73548799998</v>
      </c>
      <c r="H4538" s="156">
        <v>1850384.15</v>
      </c>
      <c r="I4538" s="156">
        <v>161611.68</v>
      </c>
      <c r="J4538" s="156">
        <v>377901.87</v>
      </c>
      <c r="K4538" s="131">
        <f t="shared" si="263"/>
        <v>2389897.6999999997</v>
      </c>
      <c r="L4538" s="134">
        <v>0.1792</v>
      </c>
    </row>
    <row r="4539" spans="3:12">
      <c r="C4539" s="161">
        <f t="shared" si="261"/>
        <v>2019</v>
      </c>
      <c r="D4539" s="35" t="s">
        <v>327</v>
      </c>
      <c r="E4539" s="227">
        <v>43770</v>
      </c>
      <c r="F4539" s="156">
        <v>4318817.49</v>
      </c>
      <c r="G4539" s="131">
        <f t="shared" si="262"/>
        <v>773932.09420799999</v>
      </c>
      <c r="H4539" s="156">
        <v>765296.67</v>
      </c>
      <c r="I4539" s="156">
        <v>189189.04</v>
      </c>
      <c r="J4539" s="156">
        <v>0</v>
      </c>
      <c r="K4539" s="131">
        <f t="shared" si="263"/>
        <v>954485.71000000008</v>
      </c>
      <c r="L4539" s="134">
        <v>0.1792</v>
      </c>
    </row>
    <row r="4540" spans="3:12">
      <c r="C4540" s="161">
        <f t="shared" si="261"/>
        <v>2019</v>
      </c>
      <c r="D4540" s="35" t="s">
        <v>327</v>
      </c>
      <c r="E4540" s="227">
        <v>43800</v>
      </c>
      <c r="F4540" s="156">
        <v>3846633.76</v>
      </c>
      <c r="G4540" s="131">
        <f t="shared" si="262"/>
        <v>689316.76979199995</v>
      </c>
      <c r="H4540" s="156">
        <v>1240876.67</v>
      </c>
      <c r="I4540" s="156">
        <v>508177.38</v>
      </c>
      <c r="J4540" s="156">
        <v>0</v>
      </c>
      <c r="K4540" s="131">
        <f t="shared" si="263"/>
        <v>1749054.0499999998</v>
      </c>
      <c r="L4540" s="134">
        <v>0.1792</v>
      </c>
    </row>
    <row r="4541" spans="3:12">
      <c r="C4541" s="161">
        <f t="shared" si="261"/>
        <v>2020</v>
      </c>
      <c r="D4541" s="35" t="s">
        <v>327</v>
      </c>
      <c r="E4541" s="227">
        <v>43831</v>
      </c>
      <c r="F4541" s="156">
        <v>3801799.64</v>
      </c>
      <c r="G4541" s="131">
        <f t="shared" si="262"/>
        <v>681282.49548799999</v>
      </c>
      <c r="H4541" s="156">
        <v>919897.78</v>
      </c>
      <c r="I4541" s="156">
        <v>1079359.6499999999</v>
      </c>
      <c r="J4541" s="156">
        <v>0</v>
      </c>
      <c r="K4541" s="131">
        <f t="shared" si="263"/>
        <v>1999257.43</v>
      </c>
      <c r="L4541" s="134">
        <v>0.1792</v>
      </c>
    </row>
    <row r="4542" spans="3:12">
      <c r="C4542" s="161">
        <f t="shared" si="261"/>
        <v>2020</v>
      </c>
      <c r="D4542" s="35" t="s">
        <v>327</v>
      </c>
      <c r="E4542" s="227">
        <v>43862</v>
      </c>
      <c r="F4542" s="156">
        <v>3723167.07</v>
      </c>
      <c r="G4542" s="131">
        <f t="shared" si="262"/>
        <v>667191.53894399991</v>
      </c>
      <c r="H4542" s="156">
        <v>338351.37</v>
      </c>
      <c r="I4542" s="156">
        <v>138519.07</v>
      </c>
      <c r="J4542" s="156">
        <v>1995</v>
      </c>
      <c r="K4542" s="131">
        <f t="shared" si="263"/>
        <v>478865.44</v>
      </c>
      <c r="L4542" s="134">
        <v>0.1792</v>
      </c>
    </row>
    <row r="4543" spans="3:12">
      <c r="C4543" s="161">
        <f t="shared" si="261"/>
        <v>2020</v>
      </c>
      <c r="D4543" s="35" t="s">
        <v>327</v>
      </c>
      <c r="E4543" s="227">
        <v>43891</v>
      </c>
      <c r="F4543" s="156">
        <v>3778187.535375</v>
      </c>
      <c r="G4543" s="131">
        <f t="shared" si="262"/>
        <v>677051.20633920003</v>
      </c>
      <c r="H4543" s="156">
        <v>244282.41</v>
      </c>
      <c r="I4543" s="156">
        <v>179459.61</v>
      </c>
      <c r="J4543" s="156">
        <v>0</v>
      </c>
      <c r="K4543" s="131">
        <f t="shared" si="263"/>
        <v>423742.02</v>
      </c>
      <c r="L4543" s="134">
        <v>0.1792</v>
      </c>
    </row>
    <row r="4544" spans="3:12">
      <c r="C4544" s="161">
        <f t="shared" si="261"/>
        <v>2020</v>
      </c>
      <c r="D4544" s="35" t="s">
        <v>327</v>
      </c>
      <c r="E4544" s="227">
        <v>43922</v>
      </c>
      <c r="F4544" s="156">
        <v>3904338.5023500002</v>
      </c>
      <c r="G4544" s="131">
        <f t="shared" si="262"/>
        <v>699657.45962112001</v>
      </c>
      <c r="H4544" s="156">
        <v>464242.84</v>
      </c>
      <c r="I4544" s="156">
        <v>541928.85</v>
      </c>
      <c r="J4544" s="156">
        <v>0</v>
      </c>
      <c r="K4544" s="131">
        <f t="shared" si="263"/>
        <v>1006171.69</v>
      </c>
      <c r="L4544" s="134">
        <v>0.1792</v>
      </c>
    </row>
    <row r="4545" spans="3:12">
      <c r="C4545" s="161">
        <f t="shared" si="261"/>
        <v>2020</v>
      </c>
      <c r="D4545" s="35" t="s">
        <v>327</v>
      </c>
      <c r="E4545" s="227">
        <v>43952</v>
      </c>
      <c r="F4545" s="156">
        <v>3717857.76</v>
      </c>
      <c r="G4545" s="131">
        <f t="shared" si="262"/>
        <v>666240.11059199995</v>
      </c>
      <c r="H4545" s="156">
        <v>185169.13</v>
      </c>
      <c r="I4545" s="156">
        <v>189878.77</v>
      </c>
      <c r="J4545" s="156">
        <v>0</v>
      </c>
      <c r="K4545" s="131">
        <f t="shared" si="263"/>
        <v>375047.9</v>
      </c>
      <c r="L4545" s="134">
        <v>0.1792</v>
      </c>
    </row>
    <row r="4546" spans="3:12">
      <c r="C4546" s="161">
        <f t="shared" si="261"/>
        <v>2020</v>
      </c>
      <c r="D4546" s="35" t="s">
        <v>327</v>
      </c>
      <c r="E4546" s="227">
        <v>43983</v>
      </c>
      <c r="F4546" s="156">
        <v>3636791.41</v>
      </c>
      <c r="G4546" s="131">
        <f t="shared" si="262"/>
        <v>651713.02067200001</v>
      </c>
      <c r="H4546" s="156">
        <v>830264.25</v>
      </c>
      <c r="I4546" s="156">
        <v>-375269.36</v>
      </c>
      <c r="J4546" s="156">
        <v>0</v>
      </c>
      <c r="K4546" s="131">
        <f t="shared" si="263"/>
        <v>454994.89</v>
      </c>
      <c r="L4546" s="134">
        <v>0.1792</v>
      </c>
    </row>
    <row r="4547" spans="3:12">
      <c r="C4547" s="161">
        <f t="shared" si="261"/>
        <v>2020</v>
      </c>
      <c r="D4547" s="35" t="s">
        <v>327</v>
      </c>
      <c r="E4547" s="227">
        <v>44013</v>
      </c>
      <c r="F4547" s="156">
        <v>3617677.65</v>
      </c>
      <c r="G4547" s="131">
        <f t="shared" si="262"/>
        <v>648287.83487999998</v>
      </c>
      <c r="H4547" s="156">
        <v>877283.32</v>
      </c>
      <c r="I4547" s="156">
        <v>2328747.9</v>
      </c>
      <c r="J4547" s="156">
        <v>663.7</v>
      </c>
      <c r="K4547" s="131">
        <f t="shared" si="263"/>
        <v>3206694.92</v>
      </c>
      <c r="L4547" s="134">
        <v>0.1792</v>
      </c>
    </row>
    <row r="4548" spans="3:12">
      <c r="C4548" s="161">
        <f t="shared" ref="C4548:C4611" si="264">YEAR(E4548)</f>
        <v>2020</v>
      </c>
      <c r="D4548" s="35" t="s">
        <v>327</v>
      </c>
      <c r="E4548" s="227">
        <v>44044</v>
      </c>
      <c r="F4548" s="156">
        <v>4035659.56</v>
      </c>
      <c r="G4548" s="131">
        <f t="shared" ref="G4548:G4611" si="265">F4548*L4548</f>
        <v>723190.19315199996</v>
      </c>
      <c r="H4548" s="156">
        <v>212181.86</v>
      </c>
      <c r="I4548" s="156">
        <v>265347.17</v>
      </c>
      <c r="J4548" s="156">
        <v>0</v>
      </c>
      <c r="K4548" s="131">
        <f t="shared" ref="K4548:K4611" si="266">SUM(H4548:J4548)</f>
        <v>477529.02999999997</v>
      </c>
      <c r="L4548" s="134">
        <v>0.1792</v>
      </c>
    </row>
    <row r="4549" spans="3:12">
      <c r="C4549" s="161">
        <f t="shared" si="264"/>
        <v>2020</v>
      </c>
      <c r="D4549" s="35" t="s">
        <v>327</v>
      </c>
      <c r="E4549" s="227">
        <v>44075</v>
      </c>
      <c r="F4549" s="156">
        <v>4564362.05</v>
      </c>
      <c r="G4549" s="131">
        <f t="shared" si="265"/>
        <v>817933.67935999995</v>
      </c>
      <c r="H4549" s="156">
        <v>193247.57</v>
      </c>
      <c r="I4549" s="156">
        <v>188564.18</v>
      </c>
      <c r="J4549" s="156">
        <v>4872.8900000000003</v>
      </c>
      <c r="K4549" s="131">
        <f t="shared" si="266"/>
        <v>386684.64</v>
      </c>
      <c r="L4549" s="134">
        <v>0.1792</v>
      </c>
    </row>
    <row r="4550" spans="3:12">
      <c r="C4550" s="161">
        <f t="shared" si="264"/>
        <v>2020</v>
      </c>
      <c r="D4550" s="35" t="s">
        <v>327</v>
      </c>
      <c r="E4550" s="227">
        <v>44105</v>
      </c>
      <c r="F4550" s="156">
        <v>4855961.66</v>
      </c>
      <c r="G4550" s="131">
        <f t="shared" si="265"/>
        <v>870188.32947200001</v>
      </c>
      <c r="H4550" s="156">
        <v>207944.41</v>
      </c>
      <c r="I4550" s="156">
        <v>322506.96000000002</v>
      </c>
      <c r="J4550" s="156">
        <v>0</v>
      </c>
      <c r="K4550" s="131">
        <f t="shared" si="266"/>
        <v>530451.37</v>
      </c>
      <c r="L4550" s="134">
        <v>0.1792</v>
      </c>
    </row>
    <row r="4551" spans="3:12">
      <c r="C4551" s="161">
        <f t="shared" si="264"/>
        <v>2020</v>
      </c>
      <c r="D4551" s="35" t="s">
        <v>327</v>
      </c>
      <c r="E4551" s="227">
        <v>44136</v>
      </c>
      <c r="F4551" s="156">
        <v>4216659.03</v>
      </c>
      <c r="G4551" s="131">
        <f t="shared" si="265"/>
        <v>755625.29817600001</v>
      </c>
      <c r="H4551" s="156">
        <v>483508.98</v>
      </c>
      <c r="I4551" s="156">
        <v>596672.82999999996</v>
      </c>
      <c r="J4551" s="156">
        <v>0</v>
      </c>
      <c r="K4551" s="131">
        <f t="shared" si="266"/>
        <v>1080181.81</v>
      </c>
      <c r="L4551" s="134">
        <v>0.1792</v>
      </c>
    </row>
    <row r="4552" spans="3:12">
      <c r="C4552" s="161">
        <f t="shared" si="264"/>
        <v>2020</v>
      </c>
      <c r="D4552" s="35" t="s">
        <v>327</v>
      </c>
      <c r="E4552" s="227">
        <v>44166</v>
      </c>
      <c r="F4552" s="156">
        <v>4207814.6500000004</v>
      </c>
      <c r="G4552" s="131">
        <f t="shared" si="265"/>
        <v>754040.38528000005</v>
      </c>
      <c r="H4552" s="156">
        <v>195555.06</v>
      </c>
      <c r="I4552" s="156">
        <v>537133.75</v>
      </c>
      <c r="J4552" s="156">
        <v>0</v>
      </c>
      <c r="K4552" s="131">
        <f t="shared" si="266"/>
        <v>732688.81</v>
      </c>
      <c r="L4552" s="134">
        <v>0.1792</v>
      </c>
    </row>
    <row r="4553" spans="3:12">
      <c r="C4553" s="161">
        <f t="shared" si="264"/>
        <v>2021</v>
      </c>
      <c r="D4553" s="35" t="s">
        <v>327</v>
      </c>
      <c r="E4553" s="227">
        <v>44197</v>
      </c>
      <c r="F4553" s="156">
        <v>4261126.32</v>
      </c>
      <c r="G4553" s="131">
        <f t="shared" si="265"/>
        <v>763593.83654400008</v>
      </c>
      <c r="H4553" s="156">
        <v>192841.4</v>
      </c>
      <c r="I4553" s="156">
        <v>76962.880000000005</v>
      </c>
      <c r="J4553" s="156">
        <v>2254</v>
      </c>
      <c r="K4553" s="131">
        <f t="shared" si="266"/>
        <v>272058.28000000003</v>
      </c>
      <c r="L4553" s="134">
        <v>0.1792</v>
      </c>
    </row>
    <row r="4554" spans="3:12">
      <c r="C4554" s="161">
        <f t="shared" si="264"/>
        <v>2021</v>
      </c>
      <c r="D4554" s="35" t="s">
        <v>327</v>
      </c>
      <c r="E4554" s="227">
        <v>44229</v>
      </c>
      <c r="F4554" s="156">
        <v>4112684.09</v>
      </c>
      <c r="G4554" s="131">
        <f t="shared" si="265"/>
        <v>736992.98892799998</v>
      </c>
      <c r="H4554" s="156">
        <v>265795.77</v>
      </c>
      <c r="I4554" s="156">
        <v>91199.48</v>
      </c>
      <c r="J4554" s="156">
        <v>0</v>
      </c>
      <c r="K4554" s="131">
        <f t="shared" si="266"/>
        <v>356995.25</v>
      </c>
      <c r="L4554" s="134">
        <v>0.1792</v>
      </c>
    </row>
    <row r="4555" spans="3:12">
      <c r="C4555" s="161">
        <f t="shared" si="264"/>
        <v>2021</v>
      </c>
      <c r="D4555" s="35" t="s">
        <v>327</v>
      </c>
      <c r="E4555" s="227">
        <v>44258</v>
      </c>
      <c r="F4555" s="156">
        <v>3636719.4</v>
      </c>
      <c r="G4555" s="131">
        <f t="shared" si="265"/>
        <v>651700.11647999997</v>
      </c>
      <c r="H4555" s="156">
        <v>685787.68</v>
      </c>
      <c r="I4555" s="156">
        <v>244454.39</v>
      </c>
      <c r="J4555" s="156">
        <v>900</v>
      </c>
      <c r="K4555" s="131">
        <f t="shared" si="266"/>
        <v>931142.07000000007</v>
      </c>
      <c r="L4555" s="134">
        <v>0.1792</v>
      </c>
    </row>
    <row r="4556" spans="3:12">
      <c r="C4556" s="161">
        <f t="shared" si="264"/>
        <v>2021</v>
      </c>
      <c r="D4556" s="35" t="s">
        <v>327</v>
      </c>
      <c r="E4556" s="227">
        <v>44290</v>
      </c>
      <c r="F4556" s="156">
        <v>4195326.12</v>
      </c>
      <c r="G4556" s="131">
        <f t="shared" si="265"/>
        <v>751802.44070400007</v>
      </c>
      <c r="H4556" s="156">
        <v>226243.55</v>
      </c>
      <c r="I4556" s="156">
        <v>47634.95</v>
      </c>
      <c r="J4556" s="156">
        <v>0</v>
      </c>
      <c r="K4556" s="131">
        <f t="shared" si="266"/>
        <v>273878.5</v>
      </c>
      <c r="L4556" s="134">
        <v>0.1792</v>
      </c>
    </row>
    <row r="4557" spans="3:12">
      <c r="C4557" s="161">
        <f t="shared" si="264"/>
        <v>2021</v>
      </c>
      <c r="D4557" s="35" t="s">
        <v>327</v>
      </c>
      <c r="E4557" s="227">
        <v>44321</v>
      </c>
      <c r="F4557" s="156">
        <v>3934609.98</v>
      </c>
      <c r="G4557" s="131">
        <f t="shared" si="265"/>
        <v>705082.10841600003</v>
      </c>
      <c r="H4557" s="156">
        <v>214412.77</v>
      </c>
      <c r="I4557" s="156">
        <v>126703.6</v>
      </c>
      <c r="J4557" s="156">
        <v>15849.44</v>
      </c>
      <c r="K4557" s="131">
        <f t="shared" si="266"/>
        <v>356965.81</v>
      </c>
      <c r="L4557" s="134">
        <v>0.1792</v>
      </c>
    </row>
    <row r="4558" spans="3:12">
      <c r="C4558" s="161">
        <f t="shared" si="264"/>
        <v>2021</v>
      </c>
      <c r="D4558" s="35" t="s">
        <v>327</v>
      </c>
      <c r="E4558" s="227">
        <v>44353</v>
      </c>
      <c r="F4558" s="156">
        <v>3913401.15</v>
      </c>
      <c r="G4558" s="131">
        <f t="shared" si="265"/>
        <v>701281.48607999994</v>
      </c>
      <c r="H4558" s="156">
        <v>203008.52</v>
      </c>
      <c r="I4558" s="156">
        <v>0</v>
      </c>
      <c r="J4558" s="156">
        <v>0</v>
      </c>
      <c r="K4558" s="131">
        <f t="shared" si="266"/>
        <v>203008.52</v>
      </c>
      <c r="L4558" s="134">
        <v>0.1792</v>
      </c>
    </row>
    <row r="4559" spans="3:12">
      <c r="C4559" s="161">
        <f t="shared" si="264"/>
        <v>2015</v>
      </c>
      <c r="D4559" s="35" t="s">
        <v>328</v>
      </c>
      <c r="E4559" s="227">
        <v>42309</v>
      </c>
      <c r="F4559" s="156">
        <v>105050.62</v>
      </c>
      <c r="G4559" s="131">
        <f t="shared" si="265"/>
        <v>18825.071103999999</v>
      </c>
      <c r="H4559" s="156">
        <v>445.44</v>
      </c>
      <c r="I4559" s="156">
        <v>0</v>
      </c>
      <c r="J4559" s="156">
        <v>0</v>
      </c>
      <c r="K4559" s="131">
        <f t="shared" si="266"/>
        <v>445.44</v>
      </c>
      <c r="L4559" s="134">
        <v>0.1792</v>
      </c>
    </row>
    <row r="4560" spans="3:12">
      <c r="C4560" s="161">
        <f t="shared" si="264"/>
        <v>2015</v>
      </c>
      <c r="D4560" s="35" t="s">
        <v>328</v>
      </c>
      <c r="E4560" s="227">
        <v>42339</v>
      </c>
      <c r="F4560" s="156">
        <v>100802</v>
      </c>
      <c r="G4560" s="131">
        <f t="shared" si="265"/>
        <v>18063.718400000002</v>
      </c>
      <c r="H4560" s="156">
        <v>1496.59</v>
      </c>
      <c r="I4560" s="156">
        <v>0</v>
      </c>
      <c r="J4560" s="156">
        <v>0</v>
      </c>
      <c r="K4560" s="131">
        <f t="shared" si="266"/>
        <v>1496.59</v>
      </c>
      <c r="L4560" s="134">
        <v>0.1792</v>
      </c>
    </row>
    <row r="4561" spans="3:12">
      <c r="C4561" s="161">
        <f t="shared" si="264"/>
        <v>2016</v>
      </c>
      <c r="D4561" s="35" t="s">
        <v>328</v>
      </c>
      <c r="E4561" s="227">
        <v>42370</v>
      </c>
      <c r="F4561" s="156">
        <v>105550.34</v>
      </c>
      <c r="G4561" s="131">
        <f t="shared" si="265"/>
        <v>18914.620928</v>
      </c>
      <c r="H4561" s="156">
        <v>815.25</v>
      </c>
      <c r="I4561" s="156">
        <v>0</v>
      </c>
      <c r="J4561" s="156">
        <v>0</v>
      </c>
      <c r="K4561" s="131">
        <f t="shared" si="266"/>
        <v>815.25</v>
      </c>
      <c r="L4561" s="134">
        <v>0.1792</v>
      </c>
    </row>
    <row r="4562" spans="3:12">
      <c r="C4562" s="161">
        <f t="shared" si="264"/>
        <v>2016</v>
      </c>
      <c r="D4562" s="35" t="s">
        <v>328</v>
      </c>
      <c r="E4562" s="227">
        <v>42401</v>
      </c>
      <c r="F4562" s="156">
        <v>112813.58</v>
      </c>
      <c r="G4562" s="131">
        <f t="shared" si="265"/>
        <v>20216.193535999999</v>
      </c>
      <c r="H4562" s="156">
        <v>241.08</v>
      </c>
      <c r="I4562" s="156">
        <v>0</v>
      </c>
      <c r="J4562" s="156">
        <v>0</v>
      </c>
      <c r="K4562" s="131">
        <f t="shared" si="266"/>
        <v>241.08</v>
      </c>
      <c r="L4562" s="134">
        <v>0.1792</v>
      </c>
    </row>
    <row r="4563" spans="3:12">
      <c r="C4563" s="161">
        <f t="shared" si="264"/>
        <v>2016</v>
      </c>
      <c r="D4563" s="35" t="s">
        <v>328</v>
      </c>
      <c r="E4563" s="227">
        <v>42430</v>
      </c>
      <c r="F4563" s="156">
        <v>94622.71</v>
      </c>
      <c r="G4563" s="131">
        <f t="shared" si="265"/>
        <v>16956.389632000002</v>
      </c>
      <c r="H4563" s="156">
        <v>763.09</v>
      </c>
      <c r="I4563" s="156">
        <v>0</v>
      </c>
      <c r="J4563" s="156">
        <v>0</v>
      </c>
      <c r="K4563" s="131">
        <f t="shared" si="266"/>
        <v>763.09</v>
      </c>
      <c r="L4563" s="134">
        <v>0.1792</v>
      </c>
    </row>
    <row r="4564" spans="3:12">
      <c r="C4564" s="161">
        <f t="shared" si="264"/>
        <v>2016</v>
      </c>
      <c r="D4564" s="35" t="s">
        <v>328</v>
      </c>
      <c r="E4564" s="227">
        <v>42461</v>
      </c>
      <c r="F4564" s="156">
        <v>113757.28</v>
      </c>
      <c r="G4564" s="131">
        <f t="shared" si="265"/>
        <v>20385.304575999999</v>
      </c>
      <c r="H4564" s="156">
        <v>427.94</v>
      </c>
      <c r="I4564" s="156">
        <v>0</v>
      </c>
      <c r="J4564" s="156">
        <v>0</v>
      </c>
      <c r="K4564" s="131">
        <f t="shared" si="266"/>
        <v>427.94</v>
      </c>
      <c r="L4564" s="134">
        <v>0.1792</v>
      </c>
    </row>
    <row r="4565" spans="3:12">
      <c r="C4565" s="161">
        <f t="shared" si="264"/>
        <v>2016</v>
      </c>
      <c r="D4565" s="35" t="s">
        <v>328</v>
      </c>
      <c r="E4565" s="227">
        <v>42491</v>
      </c>
      <c r="F4565" s="156">
        <v>98487.66</v>
      </c>
      <c r="G4565" s="131">
        <f t="shared" si="265"/>
        <v>17648.988671999999</v>
      </c>
      <c r="H4565" s="156">
        <v>1584.64</v>
      </c>
      <c r="I4565" s="156">
        <v>0</v>
      </c>
      <c r="J4565" s="156">
        <v>0</v>
      </c>
      <c r="K4565" s="131">
        <f t="shared" si="266"/>
        <v>1584.64</v>
      </c>
      <c r="L4565" s="134">
        <v>0.1792</v>
      </c>
    </row>
    <row r="4566" spans="3:12">
      <c r="C4566" s="161">
        <f t="shared" si="264"/>
        <v>2016</v>
      </c>
      <c r="D4566" s="35" t="s">
        <v>328</v>
      </c>
      <c r="E4566" s="227">
        <v>42522</v>
      </c>
      <c r="F4566" s="156">
        <v>91996.49</v>
      </c>
      <c r="G4566" s="131">
        <f t="shared" si="265"/>
        <v>16485.771008</v>
      </c>
      <c r="H4566" s="156">
        <v>1045.7</v>
      </c>
      <c r="I4566" s="156">
        <v>0</v>
      </c>
      <c r="J4566" s="156">
        <v>0</v>
      </c>
      <c r="K4566" s="131">
        <f t="shared" si="266"/>
        <v>1045.7</v>
      </c>
      <c r="L4566" s="134">
        <v>0.1792</v>
      </c>
    </row>
    <row r="4567" spans="3:12">
      <c r="C4567" s="161">
        <f t="shared" si="264"/>
        <v>2016</v>
      </c>
      <c r="D4567" s="35" t="s">
        <v>328</v>
      </c>
      <c r="E4567" s="227">
        <v>42552</v>
      </c>
      <c r="F4567" s="156">
        <v>108741.3</v>
      </c>
      <c r="G4567" s="131">
        <f t="shared" si="265"/>
        <v>19486.44096</v>
      </c>
      <c r="H4567" s="156">
        <v>592.72</v>
      </c>
      <c r="I4567" s="156">
        <v>0</v>
      </c>
      <c r="J4567" s="156">
        <v>3980</v>
      </c>
      <c r="K4567" s="131">
        <f t="shared" si="266"/>
        <v>4572.72</v>
      </c>
      <c r="L4567" s="134">
        <v>0.1792</v>
      </c>
    </row>
    <row r="4568" spans="3:12">
      <c r="C4568" s="161">
        <f t="shared" si="264"/>
        <v>2016</v>
      </c>
      <c r="D4568" s="35" t="s">
        <v>328</v>
      </c>
      <c r="E4568" s="227">
        <v>42583</v>
      </c>
      <c r="F4568" s="156">
        <v>105875.93</v>
      </c>
      <c r="G4568" s="131">
        <f t="shared" si="265"/>
        <v>18972.966655999997</v>
      </c>
      <c r="H4568" s="156">
        <v>2702.04</v>
      </c>
      <c r="I4568" s="156">
        <v>0</v>
      </c>
      <c r="J4568" s="156">
        <v>0</v>
      </c>
      <c r="K4568" s="131">
        <f t="shared" si="266"/>
        <v>2702.04</v>
      </c>
      <c r="L4568" s="134">
        <v>0.1792</v>
      </c>
    </row>
    <row r="4569" spans="3:12">
      <c r="C4569" s="161">
        <f t="shared" si="264"/>
        <v>2016</v>
      </c>
      <c r="D4569" s="35" t="s">
        <v>328</v>
      </c>
      <c r="E4569" s="227">
        <v>42614</v>
      </c>
      <c r="F4569" s="156">
        <v>112305.65</v>
      </c>
      <c r="G4569" s="131">
        <f t="shared" si="265"/>
        <v>20125.172479999997</v>
      </c>
      <c r="H4569" s="156">
        <v>5346.66</v>
      </c>
      <c r="I4569" s="156">
        <v>0</v>
      </c>
      <c r="J4569" s="156">
        <v>0</v>
      </c>
      <c r="K4569" s="131">
        <f t="shared" si="266"/>
        <v>5346.66</v>
      </c>
      <c r="L4569" s="134">
        <v>0.1792</v>
      </c>
    </row>
    <row r="4570" spans="3:12">
      <c r="C4570" s="161">
        <f t="shared" si="264"/>
        <v>2016</v>
      </c>
      <c r="D4570" s="35" t="s">
        <v>328</v>
      </c>
      <c r="E4570" s="227">
        <v>42644</v>
      </c>
      <c r="F4570" s="156">
        <v>110060.3</v>
      </c>
      <c r="G4570" s="131">
        <f t="shared" si="265"/>
        <v>19722.805759999999</v>
      </c>
      <c r="H4570" s="156">
        <v>256.62</v>
      </c>
      <c r="I4570" s="156">
        <v>0</v>
      </c>
      <c r="J4570" s="156">
        <v>2037</v>
      </c>
      <c r="K4570" s="131">
        <f t="shared" si="266"/>
        <v>2293.62</v>
      </c>
      <c r="L4570" s="134">
        <v>0.1792</v>
      </c>
    </row>
    <row r="4571" spans="3:12">
      <c r="C4571" s="161">
        <f t="shared" si="264"/>
        <v>2016</v>
      </c>
      <c r="D4571" s="35" t="s">
        <v>328</v>
      </c>
      <c r="E4571" s="227">
        <v>42675</v>
      </c>
      <c r="F4571" s="156">
        <v>116035.44</v>
      </c>
      <c r="G4571" s="131">
        <f t="shared" si="265"/>
        <v>20793.550847999999</v>
      </c>
      <c r="H4571" s="156">
        <v>1014.1</v>
      </c>
      <c r="I4571" s="156">
        <v>0</v>
      </c>
      <c r="J4571" s="156">
        <v>0</v>
      </c>
      <c r="K4571" s="131">
        <f t="shared" si="266"/>
        <v>1014.1</v>
      </c>
      <c r="L4571" s="134">
        <v>0.1792</v>
      </c>
    </row>
    <row r="4572" spans="3:12">
      <c r="C4572" s="161">
        <f t="shared" si="264"/>
        <v>2016</v>
      </c>
      <c r="D4572" s="35" t="s">
        <v>328</v>
      </c>
      <c r="E4572" s="227">
        <v>42705</v>
      </c>
      <c r="F4572" s="156">
        <v>118872.29</v>
      </c>
      <c r="G4572" s="131">
        <f t="shared" si="265"/>
        <v>21301.914367999998</v>
      </c>
      <c r="H4572" s="156">
        <v>811.13</v>
      </c>
      <c r="I4572" s="156">
        <v>0</v>
      </c>
      <c r="J4572" s="156">
        <v>0</v>
      </c>
      <c r="K4572" s="131">
        <f t="shared" si="266"/>
        <v>811.13</v>
      </c>
      <c r="L4572" s="134">
        <v>0.1792</v>
      </c>
    </row>
    <row r="4573" spans="3:12">
      <c r="C4573" s="161">
        <f t="shared" si="264"/>
        <v>2017</v>
      </c>
      <c r="D4573" s="35" t="s">
        <v>328</v>
      </c>
      <c r="E4573" s="227">
        <v>42736</v>
      </c>
      <c r="F4573" s="156">
        <v>120639.1</v>
      </c>
      <c r="G4573" s="131">
        <f t="shared" si="265"/>
        <v>21618.526720000002</v>
      </c>
      <c r="H4573" s="156">
        <v>373.99</v>
      </c>
      <c r="I4573" s="156">
        <v>0</v>
      </c>
      <c r="J4573" s="156">
        <v>695.66</v>
      </c>
      <c r="K4573" s="131">
        <f t="shared" si="266"/>
        <v>1069.6500000000001</v>
      </c>
      <c r="L4573" s="134">
        <v>0.1792</v>
      </c>
    </row>
    <row r="4574" spans="3:12">
      <c r="C4574" s="161">
        <f t="shared" si="264"/>
        <v>2017</v>
      </c>
      <c r="D4574" s="35" t="s">
        <v>328</v>
      </c>
      <c r="E4574" s="227">
        <v>42767</v>
      </c>
      <c r="F4574" s="156">
        <v>113131.74</v>
      </c>
      <c r="G4574" s="131">
        <f t="shared" si="265"/>
        <v>20273.207807999999</v>
      </c>
      <c r="H4574" s="156">
        <v>6057.45</v>
      </c>
      <c r="I4574" s="156">
        <v>0</v>
      </c>
      <c r="J4574" s="156">
        <v>0</v>
      </c>
      <c r="K4574" s="131">
        <f t="shared" si="266"/>
        <v>6057.45</v>
      </c>
      <c r="L4574" s="134">
        <v>0.1792</v>
      </c>
    </row>
    <row r="4575" spans="3:12">
      <c r="C4575" s="161">
        <f t="shared" si="264"/>
        <v>2017</v>
      </c>
      <c r="D4575" s="35" t="s">
        <v>328</v>
      </c>
      <c r="E4575" s="227">
        <v>42795</v>
      </c>
      <c r="F4575" s="156">
        <v>111101.85</v>
      </c>
      <c r="G4575" s="131">
        <f t="shared" si="265"/>
        <v>19909.451520000002</v>
      </c>
      <c r="H4575" s="156">
        <v>1203.9100000000001</v>
      </c>
      <c r="I4575" s="156">
        <v>0</v>
      </c>
      <c r="J4575" s="156">
        <v>1576.4</v>
      </c>
      <c r="K4575" s="131">
        <f t="shared" si="266"/>
        <v>2780.3100000000004</v>
      </c>
      <c r="L4575" s="134">
        <v>0.1792</v>
      </c>
    </row>
    <row r="4576" spans="3:12">
      <c r="C4576" s="161">
        <f t="shared" si="264"/>
        <v>2017</v>
      </c>
      <c r="D4576" s="35" t="s">
        <v>328</v>
      </c>
      <c r="E4576" s="227">
        <v>42826</v>
      </c>
      <c r="F4576" s="156">
        <v>107807.16</v>
      </c>
      <c r="G4576" s="131">
        <f t="shared" si="265"/>
        <v>19319.043072</v>
      </c>
      <c r="H4576" s="156">
        <v>952.87</v>
      </c>
      <c r="I4576" s="156">
        <v>0</v>
      </c>
      <c r="J4576" s="156">
        <v>0</v>
      </c>
      <c r="K4576" s="131">
        <f t="shared" si="266"/>
        <v>952.87</v>
      </c>
      <c r="L4576" s="134">
        <v>0.1792</v>
      </c>
    </row>
    <row r="4577" spans="3:12">
      <c r="C4577" s="161">
        <f t="shared" si="264"/>
        <v>2017</v>
      </c>
      <c r="D4577" s="35" t="s">
        <v>328</v>
      </c>
      <c r="E4577" s="227">
        <v>42856</v>
      </c>
      <c r="F4577" s="156">
        <v>105956.14</v>
      </c>
      <c r="G4577" s="131">
        <f t="shared" si="265"/>
        <v>18987.340287999999</v>
      </c>
      <c r="H4577" s="156">
        <v>3658.6</v>
      </c>
      <c r="I4577" s="156">
        <v>0</v>
      </c>
      <c r="J4577" s="156">
        <v>0</v>
      </c>
      <c r="K4577" s="131">
        <f t="shared" si="266"/>
        <v>3658.6</v>
      </c>
      <c r="L4577" s="134">
        <v>0.1792</v>
      </c>
    </row>
    <row r="4578" spans="3:12">
      <c r="C4578" s="161">
        <f t="shared" si="264"/>
        <v>2017</v>
      </c>
      <c r="D4578" s="35" t="s">
        <v>328</v>
      </c>
      <c r="E4578" s="227">
        <v>42887</v>
      </c>
      <c r="F4578" s="156">
        <v>112274.66</v>
      </c>
      <c r="G4578" s="131">
        <f t="shared" si="265"/>
        <v>20119.619072000001</v>
      </c>
      <c r="H4578" s="156">
        <v>114.33</v>
      </c>
      <c r="I4578" s="156">
        <v>0</v>
      </c>
      <c r="J4578" s="156">
        <v>0</v>
      </c>
      <c r="K4578" s="131">
        <f t="shared" si="266"/>
        <v>114.33</v>
      </c>
      <c r="L4578" s="134">
        <v>0.1792</v>
      </c>
    </row>
    <row r="4579" spans="3:12">
      <c r="C4579" s="161">
        <f t="shared" si="264"/>
        <v>2017</v>
      </c>
      <c r="D4579" s="35" t="s">
        <v>328</v>
      </c>
      <c r="E4579" s="227">
        <v>42917</v>
      </c>
      <c r="F4579" s="156">
        <v>116968.89</v>
      </c>
      <c r="G4579" s="131">
        <f t="shared" si="265"/>
        <v>20960.825088000001</v>
      </c>
      <c r="H4579" s="156">
        <v>388.28</v>
      </c>
      <c r="I4579" s="156">
        <v>0</v>
      </c>
      <c r="J4579" s="156">
        <v>7036.86</v>
      </c>
      <c r="K4579" s="131">
        <f t="shared" si="266"/>
        <v>7425.1399999999994</v>
      </c>
      <c r="L4579" s="134">
        <v>0.1792</v>
      </c>
    </row>
    <row r="4580" spans="3:12">
      <c r="C4580" s="161">
        <f t="shared" si="264"/>
        <v>2017</v>
      </c>
      <c r="D4580" s="35" t="s">
        <v>328</v>
      </c>
      <c r="E4580" s="227">
        <v>42948</v>
      </c>
      <c r="F4580" s="156">
        <v>126202.99</v>
      </c>
      <c r="G4580" s="131">
        <f t="shared" si="265"/>
        <v>22615.575808000001</v>
      </c>
      <c r="H4580" s="156">
        <v>1887.59</v>
      </c>
      <c r="I4580" s="156">
        <v>0</v>
      </c>
      <c r="J4580" s="156">
        <v>0</v>
      </c>
      <c r="K4580" s="131">
        <f t="shared" si="266"/>
        <v>1887.59</v>
      </c>
      <c r="L4580" s="134">
        <v>0.1792</v>
      </c>
    </row>
    <row r="4581" spans="3:12">
      <c r="C4581" s="161">
        <f t="shared" si="264"/>
        <v>2017</v>
      </c>
      <c r="D4581" s="35" t="s">
        <v>328</v>
      </c>
      <c r="E4581" s="227">
        <v>42979</v>
      </c>
      <c r="F4581" s="156">
        <v>131112.46</v>
      </c>
      <c r="G4581" s="131">
        <f t="shared" si="265"/>
        <v>23495.352831999997</v>
      </c>
      <c r="H4581" s="156">
        <v>438.39</v>
      </c>
      <c r="I4581" s="156">
        <v>0</v>
      </c>
      <c r="J4581" s="156">
        <v>0</v>
      </c>
      <c r="K4581" s="131">
        <f t="shared" si="266"/>
        <v>438.39</v>
      </c>
      <c r="L4581" s="134">
        <v>0.1792</v>
      </c>
    </row>
    <row r="4582" spans="3:12">
      <c r="C4582" s="161">
        <f t="shared" si="264"/>
        <v>2017</v>
      </c>
      <c r="D4582" s="35" t="s">
        <v>328</v>
      </c>
      <c r="E4582" s="227">
        <v>43009</v>
      </c>
      <c r="F4582" s="156">
        <v>129127.5</v>
      </c>
      <c r="G4582" s="131">
        <f t="shared" si="265"/>
        <v>23139.648000000001</v>
      </c>
      <c r="H4582" s="156">
        <v>156.44</v>
      </c>
      <c r="I4582" s="156">
        <v>0</v>
      </c>
      <c r="J4582" s="156">
        <v>0</v>
      </c>
      <c r="K4582" s="131">
        <f t="shared" si="266"/>
        <v>156.44</v>
      </c>
      <c r="L4582" s="134">
        <v>0.1792</v>
      </c>
    </row>
    <row r="4583" spans="3:12">
      <c r="C4583" s="161">
        <f t="shared" si="264"/>
        <v>2017</v>
      </c>
      <c r="D4583" s="35" t="s">
        <v>328</v>
      </c>
      <c r="E4583" s="227">
        <v>43040</v>
      </c>
      <c r="F4583" s="156">
        <v>118406.31</v>
      </c>
      <c r="G4583" s="131">
        <f t="shared" si="265"/>
        <v>21218.410752</v>
      </c>
      <c r="H4583" s="156">
        <v>4979.3500000000004</v>
      </c>
      <c r="I4583" s="156">
        <v>0</v>
      </c>
      <c r="J4583" s="156">
        <v>0</v>
      </c>
      <c r="K4583" s="131">
        <f t="shared" si="266"/>
        <v>4979.3500000000004</v>
      </c>
      <c r="L4583" s="134">
        <v>0.1792</v>
      </c>
    </row>
    <row r="4584" spans="3:12">
      <c r="C4584" s="161">
        <f t="shared" si="264"/>
        <v>2017</v>
      </c>
      <c r="D4584" s="35" t="s">
        <v>328</v>
      </c>
      <c r="E4584" s="227">
        <v>43070</v>
      </c>
      <c r="F4584" s="156">
        <v>129434.57</v>
      </c>
      <c r="G4584" s="131">
        <f t="shared" si="265"/>
        <v>23194.674944000002</v>
      </c>
      <c r="H4584" s="156">
        <v>1800.9</v>
      </c>
      <c r="I4584" s="156">
        <v>0</v>
      </c>
      <c r="J4584" s="156">
        <v>0</v>
      </c>
      <c r="K4584" s="131">
        <f t="shared" si="266"/>
        <v>1800.9</v>
      </c>
      <c r="L4584" s="134">
        <v>0.1792</v>
      </c>
    </row>
    <row r="4585" spans="3:12">
      <c r="C4585" s="161">
        <f t="shared" si="264"/>
        <v>2018</v>
      </c>
      <c r="D4585" s="35" t="s">
        <v>328</v>
      </c>
      <c r="E4585" s="227">
        <v>43101</v>
      </c>
      <c r="F4585" s="156">
        <v>123648.31</v>
      </c>
      <c r="G4585" s="131">
        <f t="shared" si="265"/>
        <v>22157.777151999999</v>
      </c>
      <c r="H4585" s="156">
        <v>152.69</v>
      </c>
      <c r="I4585" s="156">
        <v>0</v>
      </c>
      <c r="J4585" s="156">
        <v>0</v>
      </c>
      <c r="K4585" s="131">
        <f t="shared" si="266"/>
        <v>152.69</v>
      </c>
      <c r="L4585" s="134">
        <v>0.1792</v>
      </c>
    </row>
    <row r="4586" spans="3:12">
      <c r="C4586" s="161">
        <f t="shared" si="264"/>
        <v>2018</v>
      </c>
      <c r="D4586" s="35" t="s">
        <v>328</v>
      </c>
      <c r="E4586" s="227">
        <v>43132</v>
      </c>
      <c r="F4586" s="156">
        <v>129423.15</v>
      </c>
      <c r="G4586" s="131">
        <f t="shared" si="265"/>
        <v>23192.628479999999</v>
      </c>
      <c r="H4586" s="156">
        <v>2431.02</v>
      </c>
      <c r="I4586" s="156">
        <v>57.97</v>
      </c>
      <c r="J4586" s="156">
        <v>0</v>
      </c>
      <c r="K4586" s="131">
        <f t="shared" si="266"/>
        <v>2488.9899999999998</v>
      </c>
      <c r="L4586" s="134">
        <v>0.1792</v>
      </c>
    </row>
    <row r="4587" spans="3:12">
      <c r="C4587" s="161">
        <f t="shared" si="264"/>
        <v>2018</v>
      </c>
      <c r="D4587" s="35" t="s">
        <v>328</v>
      </c>
      <c r="E4587" s="227">
        <v>43160</v>
      </c>
      <c r="F4587" s="156">
        <v>112877.79</v>
      </c>
      <c r="G4587" s="131">
        <f t="shared" si="265"/>
        <v>20227.699967999997</v>
      </c>
      <c r="H4587" s="156">
        <v>1342.84</v>
      </c>
      <c r="I4587" s="156">
        <v>0</v>
      </c>
      <c r="J4587" s="156">
        <v>0</v>
      </c>
      <c r="K4587" s="131">
        <f t="shared" si="266"/>
        <v>1342.84</v>
      </c>
      <c r="L4587" s="134">
        <v>0.1792</v>
      </c>
    </row>
    <row r="4588" spans="3:12">
      <c r="C4588" s="161">
        <f t="shared" si="264"/>
        <v>2018</v>
      </c>
      <c r="D4588" s="35" t="s">
        <v>328</v>
      </c>
      <c r="E4588" s="227">
        <v>43191</v>
      </c>
      <c r="F4588" s="156">
        <v>124213.38</v>
      </c>
      <c r="G4588" s="131">
        <f t="shared" si="265"/>
        <v>22259.037695999999</v>
      </c>
      <c r="H4588" s="156">
        <v>1650.47</v>
      </c>
      <c r="I4588" s="156">
        <v>0</v>
      </c>
      <c r="J4588" s="156">
        <v>0</v>
      </c>
      <c r="K4588" s="131">
        <f t="shared" si="266"/>
        <v>1650.47</v>
      </c>
      <c r="L4588" s="134">
        <v>0.1792</v>
      </c>
    </row>
    <row r="4589" spans="3:12">
      <c r="C4589" s="161">
        <f t="shared" si="264"/>
        <v>2018</v>
      </c>
      <c r="D4589" s="35" t="s">
        <v>328</v>
      </c>
      <c r="E4589" s="227">
        <v>43221</v>
      </c>
      <c r="F4589" s="156">
        <v>122378.76</v>
      </c>
      <c r="G4589" s="131">
        <f t="shared" si="265"/>
        <v>21930.273792</v>
      </c>
      <c r="H4589" s="156">
        <v>3562.98</v>
      </c>
      <c r="I4589" s="156">
        <v>0</v>
      </c>
      <c r="J4589" s="156">
        <v>0</v>
      </c>
      <c r="K4589" s="131">
        <f t="shared" si="266"/>
        <v>3562.98</v>
      </c>
      <c r="L4589" s="134">
        <v>0.1792</v>
      </c>
    </row>
    <row r="4590" spans="3:12">
      <c r="C4590" s="161">
        <f t="shared" si="264"/>
        <v>2018</v>
      </c>
      <c r="D4590" s="35" t="s">
        <v>328</v>
      </c>
      <c r="E4590" s="227">
        <v>43252</v>
      </c>
      <c r="F4590" s="156">
        <v>115899.7</v>
      </c>
      <c r="G4590" s="131">
        <f t="shared" si="265"/>
        <v>20769.22624</v>
      </c>
      <c r="H4590" s="156">
        <v>8141.55</v>
      </c>
      <c r="I4590" s="156">
        <v>0</v>
      </c>
      <c r="J4590" s="156">
        <v>0</v>
      </c>
      <c r="K4590" s="131">
        <f t="shared" si="266"/>
        <v>8141.55</v>
      </c>
      <c r="L4590" s="134">
        <v>0.1792</v>
      </c>
    </row>
    <row r="4591" spans="3:12">
      <c r="C4591" s="161">
        <f t="shared" si="264"/>
        <v>2018</v>
      </c>
      <c r="D4591" s="35" t="s">
        <v>328</v>
      </c>
      <c r="E4591" s="227">
        <v>43282</v>
      </c>
      <c r="F4591" s="156">
        <v>121553.28</v>
      </c>
      <c r="G4591" s="131">
        <f t="shared" si="265"/>
        <v>21782.347775999999</v>
      </c>
      <c r="H4591" s="156">
        <v>1491.85</v>
      </c>
      <c r="I4591" s="156">
        <v>890.44</v>
      </c>
      <c r="J4591" s="156">
        <v>23729.279999999999</v>
      </c>
      <c r="K4591" s="131">
        <f t="shared" si="266"/>
        <v>26111.57</v>
      </c>
      <c r="L4591" s="134">
        <v>0.1792</v>
      </c>
    </row>
    <row r="4592" spans="3:12">
      <c r="C4592" s="161">
        <f t="shared" si="264"/>
        <v>2018</v>
      </c>
      <c r="D4592" s="35" t="s">
        <v>328</v>
      </c>
      <c r="E4592" s="227">
        <v>43313</v>
      </c>
      <c r="F4592" s="156">
        <v>129086.87</v>
      </c>
      <c r="G4592" s="131">
        <f t="shared" si="265"/>
        <v>23132.367103999997</v>
      </c>
      <c r="H4592" s="156">
        <v>1137.92</v>
      </c>
      <c r="I4592" s="156">
        <v>85.13</v>
      </c>
      <c r="J4592" s="156">
        <v>0</v>
      </c>
      <c r="K4592" s="131">
        <f t="shared" si="266"/>
        <v>1223.0500000000002</v>
      </c>
      <c r="L4592" s="134">
        <v>0.1792</v>
      </c>
    </row>
    <row r="4593" spans="3:12">
      <c r="C4593" s="161">
        <f t="shared" si="264"/>
        <v>2018</v>
      </c>
      <c r="D4593" s="35" t="s">
        <v>328</v>
      </c>
      <c r="E4593" s="227">
        <v>43344</v>
      </c>
      <c r="F4593" s="156">
        <v>121621.85</v>
      </c>
      <c r="G4593" s="131">
        <f t="shared" si="265"/>
        <v>21794.63552</v>
      </c>
      <c r="H4593" s="156">
        <v>4283.99</v>
      </c>
      <c r="I4593" s="156">
        <v>0</v>
      </c>
      <c r="J4593" s="156">
        <v>2425.2600000000002</v>
      </c>
      <c r="K4593" s="131">
        <f t="shared" si="266"/>
        <v>6709.25</v>
      </c>
      <c r="L4593" s="134">
        <v>0.1792</v>
      </c>
    </row>
    <row r="4594" spans="3:12">
      <c r="C4594" s="161">
        <f t="shared" si="264"/>
        <v>2018</v>
      </c>
      <c r="D4594" s="35" t="s">
        <v>328</v>
      </c>
      <c r="E4594" s="227">
        <v>43374</v>
      </c>
      <c r="F4594" s="156">
        <v>122737.07</v>
      </c>
      <c r="G4594" s="131">
        <f t="shared" si="265"/>
        <v>21994.482943999999</v>
      </c>
      <c r="H4594" s="156">
        <v>2662.24</v>
      </c>
      <c r="I4594" s="156">
        <v>0</v>
      </c>
      <c r="J4594" s="156">
        <v>0</v>
      </c>
      <c r="K4594" s="131">
        <f t="shared" si="266"/>
        <v>2662.24</v>
      </c>
      <c r="L4594" s="134">
        <v>0.1792</v>
      </c>
    </row>
    <row r="4595" spans="3:12">
      <c r="C4595" s="161">
        <f t="shared" si="264"/>
        <v>2018</v>
      </c>
      <c r="D4595" s="35" t="s">
        <v>328</v>
      </c>
      <c r="E4595" s="227">
        <v>43405</v>
      </c>
      <c r="F4595" s="156">
        <v>132348.91972500001</v>
      </c>
      <c r="G4595" s="131">
        <f t="shared" si="265"/>
        <v>23716.926414720001</v>
      </c>
      <c r="H4595" s="156">
        <v>291.19</v>
      </c>
      <c r="I4595" s="156" t="s">
        <v>267</v>
      </c>
      <c r="J4595" s="156">
        <v>43222.5</v>
      </c>
      <c r="K4595" s="131">
        <f t="shared" si="266"/>
        <v>43513.69</v>
      </c>
      <c r="L4595" s="134">
        <v>0.1792</v>
      </c>
    </row>
    <row r="4596" spans="3:12">
      <c r="C4596" s="161">
        <f t="shared" si="264"/>
        <v>2018</v>
      </c>
      <c r="D4596" s="35" t="s">
        <v>328</v>
      </c>
      <c r="E4596" s="227">
        <v>43435</v>
      </c>
      <c r="F4596" s="156">
        <v>134764.4</v>
      </c>
      <c r="G4596" s="131">
        <f t="shared" si="265"/>
        <v>24149.780479999998</v>
      </c>
      <c r="H4596" s="156">
        <v>657.85</v>
      </c>
      <c r="I4596" s="156">
        <v>0</v>
      </c>
      <c r="J4596" s="156">
        <v>2316</v>
      </c>
      <c r="K4596" s="131">
        <f t="shared" si="266"/>
        <v>2973.85</v>
      </c>
      <c r="L4596" s="134">
        <v>0.1792</v>
      </c>
    </row>
    <row r="4597" spans="3:12">
      <c r="C4597" s="161">
        <f t="shared" si="264"/>
        <v>2019</v>
      </c>
      <c r="D4597" s="35" t="s">
        <v>328</v>
      </c>
      <c r="E4597" s="227">
        <v>43466</v>
      </c>
      <c r="F4597" s="156">
        <v>135598.45000000001</v>
      </c>
      <c r="G4597" s="131">
        <f t="shared" si="265"/>
        <v>24299.242240000003</v>
      </c>
      <c r="H4597" s="156">
        <v>433.55</v>
      </c>
      <c r="I4597" s="156">
        <v>172.07</v>
      </c>
      <c r="J4597" s="156">
        <v>0</v>
      </c>
      <c r="K4597" s="131">
        <f t="shared" si="266"/>
        <v>605.62</v>
      </c>
      <c r="L4597" s="134">
        <v>0.1792</v>
      </c>
    </row>
    <row r="4598" spans="3:12">
      <c r="C4598" s="161">
        <f t="shared" si="264"/>
        <v>2019</v>
      </c>
      <c r="D4598" s="35" t="s">
        <v>328</v>
      </c>
      <c r="E4598" s="227">
        <v>43497</v>
      </c>
      <c r="F4598" s="156">
        <v>132135.54</v>
      </c>
      <c r="G4598" s="131">
        <f t="shared" si="265"/>
        <v>23678.688768</v>
      </c>
      <c r="H4598" s="156">
        <v>1946.56</v>
      </c>
      <c r="I4598" s="156">
        <v>7736.6</v>
      </c>
      <c r="J4598" s="156">
        <v>0</v>
      </c>
      <c r="K4598" s="131">
        <f t="shared" si="266"/>
        <v>9683.16</v>
      </c>
      <c r="L4598" s="134">
        <v>0.1792</v>
      </c>
    </row>
    <row r="4599" spans="3:12">
      <c r="C4599" s="161">
        <f t="shared" si="264"/>
        <v>2019</v>
      </c>
      <c r="D4599" s="35" t="s">
        <v>328</v>
      </c>
      <c r="E4599" s="227">
        <v>43525</v>
      </c>
      <c r="F4599" s="156">
        <v>120987.22</v>
      </c>
      <c r="G4599" s="131">
        <f t="shared" si="265"/>
        <v>21680.909823999998</v>
      </c>
      <c r="H4599" s="156">
        <v>2645.81</v>
      </c>
      <c r="I4599" s="156">
        <v>0</v>
      </c>
      <c r="J4599" s="156">
        <v>0</v>
      </c>
      <c r="K4599" s="131">
        <f t="shared" si="266"/>
        <v>2645.81</v>
      </c>
      <c r="L4599" s="134">
        <v>0.1792</v>
      </c>
    </row>
    <row r="4600" spans="3:12">
      <c r="C4600" s="161">
        <f t="shared" si="264"/>
        <v>2019</v>
      </c>
      <c r="D4600" s="35" t="s">
        <v>328</v>
      </c>
      <c r="E4600" s="227">
        <v>43556</v>
      </c>
      <c r="F4600" s="156">
        <v>128391.87</v>
      </c>
      <c r="G4600" s="131">
        <f t="shared" si="265"/>
        <v>23007.823103999999</v>
      </c>
      <c r="H4600" s="156">
        <v>988.24</v>
      </c>
      <c r="I4600" s="156">
        <v>0</v>
      </c>
      <c r="J4600" s="156">
        <v>0</v>
      </c>
      <c r="K4600" s="131">
        <f t="shared" si="266"/>
        <v>988.24</v>
      </c>
      <c r="L4600" s="134">
        <v>0.1792</v>
      </c>
    </row>
    <row r="4601" spans="3:12">
      <c r="C4601" s="161">
        <f t="shared" si="264"/>
        <v>2019</v>
      </c>
      <c r="D4601" s="35" t="s">
        <v>328</v>
      </c>
      <c r="E4601" s="227">
        <v>43586</v>
      </c>
      <c r="F4601" s="156">
        <v>126969.32</v>
      </c>
      <c r="G4601" s="131">
        <f t="shared" si="265"/>
        <v>22752.902144</v>
      </c>
      <c r="H4601" s="156">
        <v>156.52000000000001</v>
      </c>
      <c r="I4601" s="156">
        <v>0</v>
      </c>
      <c r="J4601" s="156">
        <v>0</v>
      </c>
      <c r="K4601" s="131">
        <f t="shared" si="266"/>
        <v>156.52000000000001</v>
      </c>
      <c r="L4601" s="134">
        <v>0.1792</v>
      </c>
    </row>
    <row r="4602" spans="3:12">
      <c r="C4602" s="161">
        <f t="shared" si="264"/>
        <v>2019</v>
      </c>
      <c r="D4602" s="35" t="s">
        <v>328</v>
      </c>
      <c r="E4602" s="227">
        <v>43617</v>
      </c>
      <c r="F4602" s="156">
        <v>125128.75</v>
      </c>
      <c r="G4602" s="131">
        <f t="shared" si="265"/>
        <v>22423.072</v>
      </c>
      <c r="H4602" s="156">
        <v>806.5</v>
      </c>
      <c r="I4602" s="156">
        <v>0</v>
      </c>
      <c r="J4602" s="156">
        <v>0</v>
      </c>
      <c r="K4602" s="131">
        <f t="shared" si="266"/>
        <v>806.5</v>
      </c>
      <c r="L4602" s="134">
        <v>0.1792</v>
      </c>
    </row>
    <row r="4603" spans="3:12">
      <c r="C4603" s="161">
        <f t="shared" si="264"/>
        <v>2019</v>
      </c>
      <c r="D4603" s="35" t="s">
        <v>328</v>
      </c>
      <c r="E4603" s="227">
        <v>43647</v>
      </c>
      <c r="F4603" s="156">
        <v>128873.76</v>
      </c>
      <c r="G4603" s="131">
        <f t="shared" si="265"/>
        <v>23094.177791999999</v>
      </c>
      <c r="H4603" s="156">
        <v>162.83000000000001</v>
      </c>
      <c r="I4603" s="156">
        <v>0</v>
      </c>
      <c r="J4603" s="156">
        <v>1816.3</v>
      </c>
      <c r="K4603" s="131">
        <f t="shared" si="266"/>
        <v>1979.1299999999999</v>
      </c>
      <c r="L4603" s="134">
        <v>0.1792</v>
      </c>
    </row>
    <row r="4604" spans="3:12">
      <c r="C4604" s="161">
        <f t="shared" si="264"/>
        <v>2019</v>
      </c>
      <c r="D4604" s="35" t="s">
        <v>328</v>
      </c>
      <c r="E4604" s="227">
        <v>43678</v>
      </c>
      <c r="F4604" s="156">
        <v>137702.43</v>
      </c>
      <c r="G4604" s="131">
        <f t="shared" si="265"/>
        <v>24676.275455999999</v>
      </c>
      <c r="H4604" s="156">
        <v>168.51</v>
      </c>
      <c r="I4604" s="156">
        <v>0</v>
      </c>
      <c r="J4604" s="156">
        <v>0</v>
      </c>
      <c r="K4604" s="131">
        <f t="shared" si="266"/>
        <v>168.51</v>
      </c>
      <c r="L4604" s="134">
        <v>0.1792</v>
      </c>
    </row>
    <row r="4605" spans="3:12">
      <c r="C4605" s="161">
        <f t="shared" si="264"/>
        <v>2019</v>
      </c>
      <c r="D4605" s="35" t="s">
        <v>328</v>
      </c>
      <c r="E4605" s="227">
        <v>43709</v>
      </c>
      <c r="F4605" s="156">
        <v>148550.23000000001</v>
      </c>
      <c r="G4605" s="131">
        <f t="shared" si="265"/>
        <v>26620.201216000001</v>
      </c>
      <c r="H4605" s="156">
        <v>206.83</v>
      </c>
      <c r="I4605" s="156" t="s">
        <v>267</v>
      </c>
      <c r="J4605" s="156" t="s">
        <v>267</v>
      </c>
      <c r="K4605" s="131">
        <f t="shared" si="266"/>
        <v>206.83</v>
      </c>
      <c r="L4605" s="134">
        <v>0.1792</v>
      </c>
    </row>
    <row r="4606" spans="3:12">
      <c r="C4606" s="161">
        <f t="shared" si="264"/>
        <v>2019</v>
      </c>
      <c r="D4606" s="35" t="s">
        <v>328</v>
      </c>
      <c r="E4606" s="227">
        <v>43739</v>
      </c>
      <c r="F4606" s="156">
        <v>145488.94</v>
      </c>
      <c r="G4606" s="131">
        <f t="shared" si="265"/>
        <v>26071.618048</v>
      </c>
      <c r="H4606" s="156">
        <v>146.55000000000001</v>
      </c>
      <c r="I4606" s="156">
        <v>0</v>
      </c>
      <c r="J4606" s="156">
        <v>4335.6499999999996</v>
      </c>
      <c r="K4606" s="131">
        <f t="shared" si="266"/>
        <v>4482.2</v>
      </c>
      <c r="L4606" s="134">
        <v>0.1792</v>
      </c>
    </row>
    <row r="4607" spans="3:12">
      <c r="C4607" s="161">
        <f t="shared" si="264"/>
        <v>2019</v>
      </c>
      <c r="D4607" s="35" t="s">
        <v>328</v>
      </c>
      <c r="E4607" s="227">
        <v>43770</v>
      </c>
      <c r="F4607" s="156">
        <v>160010.23000000001</v>
      </c>
      <c r="G4607" s="131">
        <f t="shared" si="265"/>
        <v>28673.833216000003</v>
      </c>
      <c r="H4607" s="156">
        <v>2411.4</v>
      </c>
      <c r="I4607" s="156">
        <v>0</v>
      </c>
      <c r="J4607" s="156">
        <v>0</v>
      </c>
      <c r="K4607" s="131">
        <f t="shared" si="266"/>
        <v>2411.4</v>
      </c>
      <c r="L4607" s="134">
        <v>0.1792</v>
      </c>
    </row>
    <row r="4608" spans="3:12">
      <c r="C4608" s="161">
        <f t="shared" si="264"/>
        <v>2019</v>
      </c>
      <c r="D4608" s="35" t="s">
        <v>328</v>
      </c>
      <c r="E4608" s="227">
        <v>43800</v>
      </c>
      <c r="F4608" s="156">
        <v>140108.5</v>
      </c>
      <c r="G4608" s="131">
        <f t="shared" si="265"/>
        <v>25107.443200000002</v>
      </c>
      <c r="H4608" s="156">
        <v>310.64999999999998</v>
      </c>
      <c r="I4608" s="156">
        <v>0</v>
      </c>
      <c r="J4608" s="156">
        <v>0</v>
      </c>
      <c r="K4608" s="131">
        <f t="shared" si="266"/>
        <v>310.64999999999998</v>
      </c>
      <c r="L4608" s="134">
        <v>0.1792</v>
      </c>
    </row>
    <row r="4609" spans="3:12">
      <c r="C4609" s="161">
        <f t="shared" si="264"/>
        <v>2020</v>
      </c>
      <c r="D4609" s="35" t="s">
        <v>328</v>
      </c>
      <c r="E4609" s="227">
        <v>43831</v>
      </c>
      <c r="F4609" s="156">
        <v>145367.5</v>
      </c>
      <c r="G4609" s="131">
        <f t="shared" si="265"/>
        <v>26049.856</v>
      </c>
      <c r="H4609" s="156">
        <v>289.33</v>
      </c>
      <c r="I4609" s="156">
        <v>0</v>
      </c>
      <c r="J4609" s="156">
        <v>0</v>
      </c>
      <c r="K4609" s="131">
        <f t="shared" si="266"/>
        <v>289.33</v>
      </c>
      <c r="L4609" s="134">
        <v>0.1792</v>
      </c>
    </row>
    <row r="4610" spans="3:12">
      <c r="C4610" s="161">
        <f t="shared" si="264"/>
        <v>2020</v>
      </c>
      <c r="D4610" s="35" t="s">
        <v>328</v>
      </c>
      <c r="E4610" s="227">
        <v>43862</v>
      </c>
      <c r="F4610" s="156">
        <v>140727.64000000001</v>
      </c>
      <c r="G4610" s="131">
        <f t="shared" si="265"/>
        <v>25218.393088000001</v>
      </c>
      <c r="H4610" s="156">
        <v>617.91999999999996</v>
      </c>
      <c r="I4610" s="156">
        <v>917.17</v>
      </c>
      <c r="J4610" s="156">
        <v>0</v>
      </c>
      <c r="K4610" s="131">
        <f t="shared" si="266"/>
        <v>1535.09</v>
      </c>
      <c r="L4610" s="134">
        <v>0.1792</v>
      </c>
    </row>
    <row r="4611" spans="3:12">
      <c r="C4611" s="161">
        <f t="shared" si="264"/>
        <v>2020</v>
      </c>
      <c r="D4611" s="35" t="s">
        <v>328</v>
      </c>
      <c r="E4611" s="227">
        <v>43891</v>
      </c>
      <c r="F4611" s="156">
        <v>139457.43982500001</v>
      </c>
      <c r="G4611" s="131">
        <f t="shared" si="265"/>
        <v>24990.773216640002</v>
      </c>
      <c r="H4611" s="156">
        <v>315.07</v>
      </c>
      <c r="I4611" s="156">
        <v>0</v>
      </c>
      <c r="J4611" s="156">
        <v>0</v>
      </c>
      <c r="K4611" s="131">
        <f t="shared" si="266"/>
        <v>315.07</v>
      </c>
      <c r="L4611" s="134">
        <v>0.1792</v>
      </c>
    </row>
    <row r="4612" spans="3:12">
      <c r="C4612" s="161">
        <f t="shared" ref="C4612:C4626" si="267">YEAR(E4612)</f>
        <v>2020</v>
      </c>
      <c r="D4612" s="35" t="s">
        <v>328</v>
      </c>
      <c r="E4612" s="227">
        <v>43922</v>
      </c>
      <c r="F4612" s="156">
        <v>146526.61979999999</v>
      </c>
      <c r="G4612" s="131">
        <f t="shared" ref="G4612:G4626" si="268">F4612*L4612</f>
        <v>26257.570268159998</v>
      </c>
      <c r="H4612" s="156">
        <v>1640</v>
      </c>
      <c r="I4612" s="156">
        <v>0</v>
      </c>
      <c r="J4612" s="156">
        <v>0</v>
      </c>
      <c r="K4612" s="131">
        <f t="shared" ref="K4612:K4626" si="269">SUM(H4612:J4612)</f>
        <v>1640</v>
      </c>
      <c r="L4612" s="134">
        <v>0.1792</v>
      </c>
    </row>
    <row r="4613" spans="3:12">
      <c r="C4613" s="161">
        <f t="shared" si="267"/>
        <v>2020</v>
      </c>
      <c r="D4613" s="35" t="s">
        <v>328</v>
      </c>
      <c r="E4613" s="227">
        <v>43952</v>
      </c>
      <c r="F4613" s="156">
        <v>138773.21</v>
      </c>
      <c r="G4613" s="131">
        <f t="shared" si="268"/>
        <v>24868.159231999998</v>
      </c>
      <c r="H4613" s="156">
        <v>505.89</v>
      </c>
      <c r="I4613" s="156">
        <v>244.05</v>
      </c>
      <c r="J4613" s="156">
        <v>0</v>
      </c>
      <c r="K4613" s="131">
        <f t="shared" si="269"/>
        <v>749.94</v>
      </c>
      <c r="L4613" s="134">
        <v>0.1792</v>
      </c>
    </row>
    <row r="4614" spans="3:12">
      <c r="C4614" s="161">
        <f t="shared" si="267"/>
        <v>2020</v>
      </c>
      <c r="D4614" s="35" t="s">
        <v>328</v>
      </c>
      <c r="E4614" s="227">
        <v>43983</v>
      </c>
      <c r="F4614" s="156">
        <v>129454.25</v>
      </c>
      <c r="G4614" s="131">
        <f t="shared" si="268"/>
        <v>23198.2016</v>
      </c>
      <c r="H4614" s="156">
        <v>621.42999999999995</v>
      </c>
      <c r="I4614" s="156">
        <v>0</v>
      </c>
      <c r="J4614" s="156">
        <v>0</v>
      </c>
      <c r="K4614" s="131">
        <f t="shared" si="269"/>
        <v>621.42999999999995</v>
      </c>
      <c r="L4614" s="134">
        <v>0.1792</v>
      </c>
    </row>
    <row r="4615" spans="3:12">
      <c r="C4615" s="161">
        <f t="shared" si="267"/>
        <v>2020</v>
      </c>
      <c r="D4615" s="35" t="s">
        <v>328</v>
      </c>
      <c r="E4615" s="227">
        <v>44013</v>
      </c>
      <c r="F4615" s="156">
        <v>135526.38</v>
      </c>
      <c r="G4615" s="131">
        <f t="shared" si="268"/>
        <v>24286.327295999999</v>
      </c>
      <c r="H4615" s="156">
        <v>1055.6500000000001</v>
      </c>
      <c r="I4615" s="156">
        <v>0</v>
      </c>
      <c r="J4615" s="156">
        <v>0</v>
      </c>
      <c r="K4615" s="131">
        <f t="shared" si="269"/>
        <v>1055.6500000000001</v>
      </c>
      <c r="L4615" s="134">
        <v>0.1792</v>
      </c>
    </row>
    <row r="4616" spans="3:12">
      <c r="C4616" s="161">
        <f t="shared" si="267"/>
        <v>2020</v>
      </c>
      <c r="D4616" s="35" t="s">
        <v>328</v>
      </c>
      <c r="E4616" s="227">
        <v>44044</v>
      </c>
      <c r="F4616" s="156">
        <v>137005.37</v>
      </c>
      <c r="G4616" s="131">
        <f t="shared" si="268"/>
        <v>24551.362303999998</v>
      </c>
      <c r="H4616" s="156">
        <v>251.68</v>
      </c>
      <c r="I4616" s="156">
        <v>2103.77</v>
      </c>
      <c r="J4616" s="156">
        <v>0</v>
      </c>
      <c r="K4616" s="131">
        <f t="shared" si="269"/>
        <v>2355.4499999999998</v>
      </c>
      <c r="L4616" s="134">
        <v>0.1792</v>
      </c>
    </row>
    <row r="4617" spans="3:12">
      <c r="C4617" s="161">
        <f t="shared" si="267"/>
        <v>2020</v>
      </c>
      <c r="D4617" s="35" t="s">
        <v>328</v>
      </c>
      <c r="E4617" s="227">
        <v>44075</v>
      </c>
      <c r="F4617" s="156">
        <v>147137.09</v>
      </c>
      <c r="G4617" s="131">
        <f t="shared" si="268"/>
        <v>26366.966528000001</v>
      </c>
      <c r="H4617" s="156">
        <v>8597.31</v>
      </c>
      <c r="I4617" s="156">
        <v>2849.35</v>
      </c>
      <c r="J4617" s="156">
        <v>0</v>
      </c>
      <c r="K4617" s="131">
        <f t="shared" si="269"/>
        <v>11446.66</v>
      </c>
      <c r="L4617" s="134">
        <v>0.1792</v>
      </c>
    </row>
    <row r="4618" spans="3:12">
      <c r="C4618" s="161">
        <f t="shared" si="267"/>
        <v>2020</v>
      </c>
      <c r="D4618" s="35" t="s">
        <v>328</v>
      </c>
      <c r="E4618" s="227">
        <v>44105</v>
      </c>
      <c r="F4618" s="156">
        <v>158142.45000000001</v>
      </c>
      <c r="G4618" s="131">
        <f t="shared" si="268"/>
        <v>28339.127040000003</v>
      </c>
      <c r="H4618" s="156">
        <v>9565.51</v>
      </c>
      <c r="I4618" s="156">
        <v>328.01</v>
      </c>
      <c r="J4618" s="156">
        <v>0</v>
      </c>
      <c r="K4618" s="131">
        <f t="shared" si="269"/>
        <v>9893.52</v>
      </c>
      <c r="L4618" s="134">
        <v>0.1792</v>
      </c>
    </row>
    <row r="4619" spans="3:12">
      <c r="C4619" s="161">
        <f t="shared" si="267"/>
        <v>2020</v>
      </c>
      <c r="D4619" s="35" t="s">
        <v>328</v>
      </c>
      <c r="E4619" s="227">
        <v>44136</v>
      </c>
      <c r="F4619" s="156">
        <v>148694.32999999999</v>
      </c>
      <c r="G4619" s="131">
        <f t="shared" si="268"/>
        <v>26646.023935999998</v>
      </c>
      <c r="H4619" s="156">
        <v>333.29</v>
      </c>
      <c r="I4619" s="156">
        <v>2957.87</v>
      </c>
      <c r="J4619" s="156">
        <v>0</v>
      </c>
      <c r="K4619" s="131">
        <f t="shared" si="269"/>
        <v>3291.16</v>
      </c>
      <c r="L4619" s="134">
        <v>0.1792</v>
      </c>
    </row>
    <row r="4620" spans="3:12">
      <c r="C4620" s="161">
        <f t="shared" si="267"/>
        <v>2020</v>
      </c>
      <c r="D4620" s="35" t="s">
        <v>328</v>
      </c>
      <c r="E4620" s="227">
        <v>44166</v>
      </c>
      <c r="F4620" s="156">
        <v>153351.74</v>
      </c>
      <c r="G4620" s="131">
        <f t="shared" si="268"/>
        <v>27480.631807999998</v>
      </c>
      <c r="H4620" s="156">
        <v>190.85</v>
      </c>
      <c r="I4620" s="156">
        <v>2366.19</v>
      </c>
      <c r="J4620" s="156">
        <v>0</v>
      </c>
      <c r="K4620" s="131">
        <f t="shared" si="269"/>
        <v>2557.04</v>
      </c>
      <c r="L4620" s="134">
        <v>0.1792</v>
      </c>
    </row>
    <row r="4621" spans="3:12">
      <c r="C4621" s="161">
        <f t="shared" si="267"/>
        <v>2021</v>
      </c>
      <c r="D4621" s="35" t="s">
        <v>328</v>
      </c>
      <c r="E4621" s="227">
        <v>44197</v>
      </c>
      <c r="F4621" s="156">
        <v>152907.92000000001</v>
      </c>
      <c r="G4621" s="131">
        <f t="shared" si="268"/>
        <v>27401.099264</v>
      </c>
      <c r="H4621" s="156">
        <v>73688.899999999994</v>
      </c>
      <c r="I4621" s="156">
        <v>0</v>
      </c>
      <c r="J4621" s="156">
        <v>0</v>
      </c>
      <c r="K4621" s="131">
        <f t="shared" si="269"/>
        <v>73688.899999999994</v>
      </c>
      <c r="L4621" s="134">
        <v>0.1792</v>
      </c>
    </row>
    <row r="4622" spans="3:12">
      <c r="C4622" s="161">
        <f t="shared" si="267"/>
        <v>2021</v>
      </c>
      <c r="D4622" s="35" t="s">
        <v>328</v>
      </c>
      <c r="E4622" s="227">
        <v>44229</v>
      </c>
      <c r="F4622" s="156">
        <v>142628.54999999999</v>
      </c>
      <c r="G4622" s="131">
        <f t="shared" si="268"/>
        <v>25559.036159999996</v>
      </c>
      <c r="H4622" s="156">
        <v>240.93</v>
      </c>
      <c r="I4622" s="156">
        <v>1227.68</v>
      </c>
      <c r="J4622" s="156">
        <v>0</v>
      </c>
      <c r="K4622" s="131">
        <f t="shared" si="269"/>
        <v>1468.6100000000001</v>
      </c>
      <c r="L4622" s="134">
        <v>0.1792</v>
      </c>
    </row>
    <row r="4623" spans="3:12">
      <c r="C4623" s="161">
        <f t="shared" si="267"/>
        <v>2021</v>
      </c>
      <c r="D4623" s="35" t="s">
        <v>328</v>
      </c>
      <c r="E4623" s="227">
        <v>44258</v>
      </c>
      <c r="F4623" s="156">
        <v>136880.68</v>
      </c>
      <c r="G4623" s="131">
        <f t="shared" si="268"/>
        <v>24529.017855999999</v>
      </c>
      <c r="H4623" s="156">
        <v>11153.03</v>
      </c>
      <c r="I4623" s="156">
        <v>25409.69</v>
      </c>
      <c r="J4623" s="156">
        <v>0</v>
      </c>
      <c r="K4623" s="131">
        <f t="shared" si="269"/>
        <v>36562.720000000001</v>
      </c>
      <c r="L4623" s="134">
        <v>0.1792</v>
      </c>
    </row>
    <row r="4624" spans="3:12">
      <c r="C4624" s="161">
        <f t="shared" si="267"/>
        <v>2021</v>
      </c>
      <c r="D4624" s="35" t="s">
        <v>328</v>
      </c>
      <c r="E4624" s="227">
        <v>44290</v>
      </c>
      <c r="F4624" s="156">
        <v>154269.54999999999</v>
      </c>
      <c r="G4624" s="131">
        <f t="shared" si="268"/>
        <v>27645.103359999997</v>
      </c>
      <c r="H4624" s="156">
        <v>5734.1</v>
      </c>
      <c r="I4624" s="156">
        <v>74588.28</v>
      </c>
      <c r="J4624" s="156">
        <v>0</v>
      </c>
      <c r="K4624" s="131">
        <f t="shared" si="269"/>
        <v>80322.38</v>
      </c>
      <c r="L4624" s="134">
        <v>0.1792</v>
      </c>
    </row>
    <row r="4625" spans="3:12">
      <c r="C4625" s="161">
        <f t="shared" si="267"/>
        <v>2021</v>
      </c>
      <c r="D4625" s="35" t="s">
        <v>328</v>
      </c>
      <c r="E4625" s="227">
        <v>44321</v>
      </c>
      <c r="F4625" s="156">
        <v>142191.84</v>
      </c>
      <c r="G4625" s="131">
        <f t="shared" si="268"/>
        <v>25480.777728000001</v>
      </c>
      <c r="H4625" s="156">
        <v>9738.23</v>
      </c>
      <c r="I4625" s="156">
        <v>115595.98</v>
      </c>
      <c r="J4625" s="156">
        <v>0</v>
      </c>
      <c r="K4625" s="131">
        <f t="shared" si="269"/>
        <v>125334.20999999999</v>
      </c>
      <c r="L4625" s="134">
        <v>0.1792</v>
      </c>
    </row>
    <row r="4626" spans="3:12">
      <c r="C4626" s="161">
        <f t="shared" si="267"/>
        <v>2021</v>
      </c>
      <c r="D4626" s="35" t="s">
        <v>328</v>
      </c>
      <c r="E4626" s="227">
        <v>44353</v>
      </c>
      <c r="F4626" s="156">
        <v>142445.07999999999</v>
      </c>
      <c r="G4626" s="131">
        <f t="shared" si="268"/>
        <v>25526.158335999997</v>
      </c>
      <c r="H4626" s="156">
        <v>5793.65</v>
      </c>
      <c r="I4626" s="156">
        <v>104920.2</v>
      </c>
      <c r="J4626" s="156">
        <v>0</v>
      </c>
      <c r="K4626" s="131">
        <f t="shared" si="269"/>
        <v>110713.84999999999</v>
      </c>
      <c r="L4626" s="134">
        <v>0.1792</v>
      </c>
    </row>
    <row r="4628" spans="3:12">
      <c r="F4628" s="26"/>
      <c r="G4628" s="31"/>
    </row>
  </sheetData>
  <mergeCells count="27">
    <mergeCell ref="C1:C2"/>
    <mergeCell ref="BC1:BC2"/>
    <mergeCell ref="AL1:AL2"/>
    <mergeCell ref="AV1:AV2"/>
    <mergeCell ref="AT1:AT2"/>
    <mergeCell ref="AW1:AW2"/>
    <mergeCell ref="AX1:AX2"/>
    <mergeCell ref="AY1:BB1"/>
    <mergeCell ref="AM1:AM2"/>
    <mergeCell ref="AN1:AN2"/>
    <mergeCell ref="AO1:AO2"/>
    <mergeCell ref="AP1:AS1"/>
    <mergeCell ref="D1:D2"/>
    <mergeCell ref="N1:N2"/>
    <mergeCell ref="E1:E2"/>
    <mergeCell ref="F1:F2"/>
    <mergeCell ref="G1:G2"/>
    <mergeCell ref="H1:K1"/>
    <mergeCell ref="L1:L2"/>
    <mergeCell ref="BH1:BH2"/>
    <mergeCell ref="O1:O2"/>
    <mergeCell ref="U1:U2"/>
    <mergeCell ref="Q1:T1"/>
    <mergeCell ref="P1:P2"/>
    <mergeCell ref="AA1:AH1"/>
    <mergeCell ref="Y1:Z1"/>
    <mergeCell ref="BD1:BG1"/>
  </mergeCells>
  <conditionalFormatting sqref="C3:L4626 N9:AI70">
    <cfRule type="expression" dxfId="11" priority="18">
      <formula>C3&lt;0</formula>
    </cfRule>
  </conditionalFormatting>
  <conditionalFormatting sqref="N4:AD8 AE7:AI8">
    <cfRule type="expression" dxfId="10" priority="1">
      <formula>N4&lt;0</formula>
    </cfRule>
  </conditionalFormatting>
  <conditionalFormatting sqref="N3:AE3 AF3:AI6 AE4:AE6">
    <cfRule type="expression" dxfId="9" priority="19">
      <formula>N3&lt;0</formula>
    </cfRule>
  </conditionalFormatting>
  <conditionalFormatting sqref="O3:S70">
    <cfRule type="expression" dxfId="8" priority="41">
      <formula>O3&lt;0</formula>
    </cfRule>
  </conditionalFormatting>
  <conditionalFormatting sqref="AA1 V1:Y3 AA2:AH2 AG3:AH3 AL3:AL74 AN3:AT74">
    <cfRule type="expression" dxfId="7" priority="42">
      <formula>V1&lt;0</formula>
    </cfRule>
  </conditionalFormatting>
  <conditionalFormatting sqref="AI1:AI4">
    <cfRule type="expression" dxfId="6" priority="21">
      <formula>AI1&lt;0</formula>
    </cfRule>
  </conditionalFormatting>
  <conditionalFormatting sqref="AM3:AR3 AP4:AR14 AM4:AM74 AO4:AO74">
    <cfRule type="expression" dxfId="5" priority="39">
      <formula>AM3&lt;0</formula>
    </cfRule>
  </conditionalFormatting>
  <conditionalFormatting sqref="AV3:BH9">
    <cfRule type="expression" dxfId="4" priority="3">
      <formula>AV3&lt;0</formula>
    </cfRule>
  </conditionalFormatting>
  <conditionalFormatting sqref="BB9:BC9">
    <cfRule type="expression" dxfId="3" priority="27">
      <formula>BB9&lt;0</formula>
    </cfRule>
  </conditionalFormatting>
  <conditionalFormatting sqref="BD4:BD8">
    <cfRule type="expression" dxfId="2" priority="8">
      <formula>BD4&lt;0</formula>
    </cfRule>
  </conditionalFormatting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R83"/>
  <sheetViews>
    <sheetView showGridLines="0" zoomScale="80" zoomScaleNormal="80" workbookViewId="0">
      <selection activeCell="B2" sqref="B2"/>
    </sheetView>
  </sheetViews>
  <sheetFormatPr defaultColWidth="9.140625" defaultRowHeight="15"/>
  <cols>
    <col min="1" max="1" width="1.42578125" style="207" customWidth="1"/>
    <col min="2" max="2" width="4.42578125" style="207" customWidth="1"/>
    <col min="3" max="3" width="40.7109375" style="207" customWidth="1"/>
    <col min="4" max="4" width="13.28515625" style="207" bestFit="1" customWidth="1"/>
    <col min="5" max="10" width="12.5703125" style="207" customWidth="1"/>
    <col min="11" max="11" width="13.28515625" style="207" bestFit="1" customWidth="1"/>
    <col min="12" max="16" width="15.5703125" style="478" customWidth="1"/>
    <col min="17" max="16384" width="9.140625" style="207"/>
  </cols>
  <sheetData>
    <row r="1" spans="2:11" ht="5.25" customHeight="1" thickBot="1"/>
    <row r="2" spans="2:11" ht="15.75">
      <c r="B2" s="384" t="s">
        <v>11</v>
      </c>
      <c r="C2" s="383"/>
      <c r="D2" s="383"/>
      <c r="E2" s="382"/>
      <c r="F2" s="382"/>
      <c r="G2" s="382"/>
      <c r="H2" s="382"/>
      <c r="I2" s="382"/>
      <c r="J2" s="381"/>
    </row>
    <row r="3" spans="2:11" ht="15.75">
      <c r="B3" s="380" t="s">
        <v>532</v>
      </c>
      <c r="C3" s="379"/>
      <c r="D3" s="379"/>
      <c r="E3" s="378"/>
      <c r="F3" s="378"/>
      <c r="G3" s="378"/>
      <c r="H3" s="378"/>
      <c r="I3" s="378"/>
      <c r="J3" s="377"/>
    </row>
    <row r="4" spans="2:11" ht="15.75" customHeight="1" thickBot="1">
      <c r="B4" s="376" t="s">
        <v>538</v>
      </c>
      <c r="C4" s="375"/>
      <c r="D4" s="375"/>
      <c r="E4" s="375"/>
      <c r="F4" s="375"/>
      <c r="G4" s="375"/>
      <c r="H4" s="375"/>
      <c r="I4" s="375"/>
      <c r="J4" s="374"/>
    </row>
    <row r="5" spans="2:11" ht="7.5" customHeight="1" thickBot="1">
      <c r="B5" s="19"/>
      <c r="C5" s="20"/>
      <c r="D5" s="20"/>
      <c r="E5" s="285"/>
      <c r="F5" s="285"/>
      <c r="G5" s="285"/>
      <c r="H5" s="285"/>
      <c r="I5" s="285"/>
      <c r="J5" s="285"/>
    </row>
    <row r="6" spans="2:11" ht="28.5" customHeight="1" thickTop="1">
      <c r="B6" s="657" t="s">
        <v>15</v>
      </c>
      <c r="C6" s="658"/>
      <c r="D6" s="22" t="s">
        <v>16</v>
      </c>
      <c r="E6" s="373">
        <v>2025</v>
      </c>
      <c r="F6" s="373">
        <v>2026</v>
      </c>
      <c r="G6" s="373">
        <v>2027</v>
      </c>
      <c r="H6" s="373">
        <v>2028</v>
      </c>
      <c r="I6" s="373">
        <v>2029</v>
      </c>
      <c r="J6" s="373">
        <v>2030</v>
      </c>
    </row>
    <row r="7" spans="2:11" ht="4.5" customHeight="1">
      <c r="B7" s="23"/>
      <c r="C7" s="23"/>
      <c r="D7" s="23"/>
      <c r="E7" s="23"/>
      <c r="F7" s="23"/>
      <c r="G7" s="23"/>
      <c r="H7" s="23"/>
      <c r="I7" s="23"/>
      <c r="J7" s="23"/>
    </row>
    <row r="8" spans="2:11" ht="14.45" customHeight="1">
      <c r="B8" s="372" t="s">
        <v>537</v>
      </c>
      <c r="C8" s="371"/>
      <c r="D8" s="372"/>
      <c r="E8" s="372"/>
      <c r="F8" s="391"/>
      <c r="G8" s="391"/>
      <c r="H8" s="391"/>
      <c r="I8" s="391"/>
      <c r="J8" s="391"/>
    </row>
    <row r="9" spans="2:11" ht="15.75">
      <c r="B9" s="369" t="s">
        <v>536</v>
      </c>
      <c r="C9" s="83"/>
      <c r="D9" s="365" t="s">
        <v>527</v>
      </c>
      <c r="E9" s="480">
        <f>Mercado!J24</f>
        <v>598093</v>
      </c>
      <c r="F9" s="480">
        <f>Mercado!K24</f>
        <v>611669.71109999996</v>
      </c>
      <c r="G9" s="480">
        <f>Mercado!L24</f>
        <v>625554.61354196991</v>
      </c>
      <c r="H9" s="480">
        <f>Mercado!M24</f>
        <v>639754.70326937258</v>
      </c>
      <c r="I9" s="480">
        <f>Mercado!N24</f>
        <v>654277.13503358734</v>
      </c>
      <c r="J9" s="361"/>
    </row>
    <row r="10" spans="2:11" ht="15.75">
      <c r="B10" s="360" t="s">
        <v>82</v>
      </c>
      <c r="C10" s="187" t="s">
        <v>517</v>
      </c>
      <c r="D10" s="359" t="s">
        <v>508</v>
      </c>
      <c r="E10" s="481">
        <f>E9*0.9311+60</f>
        <v>556944.39230000007</v>
      </c>
      <c r="F10" s="481">
        <f>F9*0.9311+61</f>
        <v>569586.66800521</v>
      </c>
      <c r="G10" s="481">
        <f>G9*0.9311+63</f>
        <v>582516.90066892817</v>
      </c>
      <c r="H10" s="481">
        <f>H9*0.9311+64</f>
        <v>595739.60421411286</v>
      </c>
      <c r="I10" s="481">
        <f>I9*0.9311+65</f>
        <v>609262.44042977318</v>
      </c>
      <c r="J10" s="368" t="s">
        <v>0</v>
      </c>
      <c r="K10" s="366"/>
    </row>
    <row r="11" spans="2:11" ht="15.75">
      <c r="B11" s="357" t="s">
        <v>85</v>
      </c>
      <c r="C11" s="187" t="s">
        <v>62</v>
      </c>
      <c r="D11" s="358" t="s">
        <v>508</v>
      </c>
      <c r="E11" s="481">
        <f>E9*0.059</f>
        <v>35287.487000000001</v>
      </c>
      <c r="F11" s="481">
        <f t="shared" ref="F11:I11" si="0">F9*0.059</f>
        <v>36088.512954899998</v>
      </c>
      <c r="G11" s="481">
        <f t="shared" si="0"/>
        <v>36907.722198976226</v>
      </c>
      <c r="H11" s="481">
        <f t="shared" si="0"/>
        <v>37745.527492892979</v>
      </c>
      <c r="I11" s="481">
        <f t="shared" si="0"/>
        <v>38602.350966981649</v>
      </c>
      <c r="J11" s="368" t="s">
        <v>0</v>
      </c>
      <c r="K11" s="366"/>
    </row>
    <row r="12" spans="2:11" ht="15.75">
      <c r="B12" s="357" t="s">
        <v>87</v>
      </c>
      <c r="C12" s="187" t="s">
        <v>63</v>
      </c>
      <c r="D12" s="358" t="s">
        <v>508</v>
      </c>
      <c r="E12" s="481">
        <f>E9*0.0001</f>
        <v>59.8093</v>
      </c>
      <c r="F12" s="481">
        <f t="shared" ref="F12:I12" si="1">F9*0.0001</f>
        <v>61.166971109999999</v>
      </c>
      <c r="G12" s="481">
        <f t="shared" si="1"/>
        <v>62.555461354196993</v>
      </c>
      <c r="H12" s="481">
        <f t="shared" si="1"/>
        <v>63.975470326937263</v>
      </c>
      <c r="I12" s="481">
        <f t="shared" si="1"/>
        <v>65.427713503358731</v>
      </c>
      <c r="J12" s="368" t="s">
        <v>0</v>
      </c>
      <c r="K12" s="366"/>
    </row>
    <row r="13" spans="2:11" ht="15.75">
      <c r="B13" s="357" t="s">
        <v>89</v>
      </c>
      <c r="C13" s="187" t="s">
        <v>513</v>
      </c>
      <c r="D13" s="358" t="s">
        <v>508</v>
      </c>
      <c r="E13" s="481">
        <f>E9*0.0097</f>
        <v>5801.5021000000006</v>
      </c>
      <c r="F13" s="481">
        <f t="shared" ref="F13:I13" si="2">F9*0.0097</f>
        <v>5933.1961976699995</v>
      </c>
      <c r="G13" s="481">
        <f t="shared" si="2"/>
        <v>6067.879751357108</v>
      </c>
      <c r="H13" s="481">
        <f t="shared" si="2"/>
        <v>6205.6206217129138</v>
      </c>
      <c r="I13" s="481">
        <f t="shared" si="2"/>
        <v>6346.4882098257976</v>
      </c>
      <c r="J13" s="368" t="s">
        <v>0</v>
      </c>
      <c r="K13" s="366"/>
    </row>
    <row r="14" spans="2:11" ht="15.75">
      <c r="B14" s="357" t="s">
        <v>91</v>
      </c>
      <c r="C14" s="187" t="s">
        <v>64</v>
      </c>
      <c r="D14" s="356" t="s">
        <v>508</v>
      </c>
      <c r="E14" s="481">
        <f>E9*0.0001</f>
        <v>59.8093</v>
      </c>
      <c r="F14" s="481">
        <f t="shared" ref="F14:I14" si="3">F9*0.0001</f>
        <v>61.166971109999999</v>
      </c>
      <c r="G14" s="481">
        <f t="shared" si="3"/>
        <v>62.555461354196993</v>
      </c>
      <c r="H14" s="481">
        <f t="shared" si="3"/>
        <v>63.975470326937263</v>
      </c>
      <c r="I14" s="481">
        <f t="shared" si="3"/>
        <v>65.427713503358731</v>
      </c>
      <c r="J14" s="368"/>
    </row>
    <row r="15" spans="2:11" ht="15.75">
      <c r="B15" s="82" t="s">
        <v>528</v>
      </c>
      <c r="C15" s="83"/>
      <c r="D15" s="365" t="s">
        <v>527</v>
      </c>
      <c r="E15" s="578">
        <f>E9/1.1</f>
        <v>543720.90909090906</v>
      </c>
      <c r="F15" s="578">
        <f t="shared" ref="F15:I15" si="4">F9/1.1</f>
        <v>556063.37372727261</v>
      </c>
      <c r="G15" s="578">
        <f t="shared" si="4"/>
        <v>568686.01231088175</v>
      </c>
      <c r="H15" s="578">
        <f t="shared" si="4"/>
        <v>581595.18479033862</v>
      </c>
      <c r="I15" s="578">
        <f t="shared" si="4"/>
        <v>594797.39548507938</v>
      </c>
      <c r="J15" s="361"/>
    </row>
    <row r="16" spans="2:11" ht="15.75">
      <c r="B16" s="360" t="s">
        <v>106</v>
      </c>
      <c r="C16" s="187" t="s">
        <v>517</v>
      </c>
      <c r="D16" s="359" t="s">
        <v>508</v>
      </c>
      <c r="E16" s="481">
        <f>E10/1.1</f>
        <v>506313.0839090909</v>
      </c>
      <c r="F16" s="481">
        <f t="shared" ref="F16:I16" si="5">F10/1.1</f>
        <v>517806.06182291813</v>
      </c>
      <c r="G16" s="481">
        <f t="shared" si="5"/>
        <v>529560.81878993462</v>
      </c>
      <c r="H16" s="481">
        <f t="shared" si="5"/>
        <v>541581.45837646618</v>
      </c>
      <c r="I16" s="481">
        <f t="shared" si="5"/>
        <v>553874.94584524829</v>
      </c>
      <c r="J16" s="355"/>
    </row>
    <row r="17" spans="2:10" ht="15.75">
      <c r="B17" s="357" t="s">
        <v>107</v>
      </c>
      <c r="C17" s="187" t="s">
        <v>62</v>
      </c>
      <c r="D17" s="358" t="s">
        <v>508</v>
      </c>
      <c r="E17" s="481">
        <f t="shared" ref="E17:I20" si="6">E11/1.1</f>
        <v>32079.533636363634</v>
      </c>
      <c r="F17" s="481">
        <f t="shared" si="6"/>
        <v>32807.739049909083</v>
      </c>
      <c r="G17" s="481">
        <f t="shared" si="6"/>
        <v>33552.474726342021</v>
      </c>
      <c r="H17" s="481">
        <f t="shared" si="6"/>
        <v>34314.115902629979</v>
      </c>
      <c r="I17" s="481">
        <f t="shared" si="6"/>
        <v>35093.046333619677</v>
      </c>
      <c r="J17" s="355"/>
    </row>
    <row r="18" spans="2:10" ht="15.75">
      <c r="B18" s="357" t="s">
        <v>108</v>
      </c>
      <c r="C18" s="187" t="s">
        <v>63</v>
      </c>
      <c r="D18" s="358" t="s">
        <v>508</v>
      </c>
      <c r="E18" s="481">
        <f t="shared" si="6"/>
        <v>54.372090909090907</v>
      </c>
      <c r="F18" s="481">
        <f t="shared" si="6"/>
        <v>55.606337372727268</v>
      </c>
      <c r="G18" s="481">
        <f t="shared" si="6"/>
        <v>56.868601231088171</v>
      </c>
      <c r="H18" s="481">
        <f t="shared" si="6"/>
        <v>58.159518479033871</v>
      </c>
      <c r="I18" s="481">
        <f t="shared" si="6"/>
        <v>59.479739548507936</v>
      </c>
      <c r="J18" s="355"/>
    </row>
    <row r="19" spans="2:10" ht="15.75">
      <c r="B19" s="357" t="s">
        <v>109</v>
      </c>
      <c r="C19" s="187" t="s">
        <v>513</v>
      </c>
      <c r="D19" s="358" t="s">
        <v>508</v>
      </c>
      <c r="E19" s="481">
        <f t="shared" si="6"/>
        <v>5274.0928181818181</v>
      </c>
      <c r="F19" s="481">
        <f t="shared" si="6"/>
        <v>5393.8147251545442</v>
      </c>
      <c r="G19" s="481">
        <f t="shared" si="6"/>
        <v>5516.2543194155523</v>
      </c>
      <c r="H19" s="481">
        <f t="shared" si="6"/>
        <v>5641.4732924662849</v>
      </c>
      <c r="I19" s="481">
        <f t="shared" si="6"/>
        <v>5769.5347362052698</v>
      </c>
      <c r="J19" s="355"/>
    </row>
    <row r="20" spans="2:10" ht="15.75">
      <c r="B20" s="357" t="s">
        <v>110</v>
      </c>
      <c r="C20" s="187" t="s">
        <v>64</v>
      </c>
      <c r="D20" s="356" t="s">
        <v>508</v>
      </c>
      <c r="E20" s="481">
        <f t="shared" si="6"/>
        <v>54.372090909090907</v>
      </c>
      <c r="F20" s="481">
        <f t="shared" si="6"/>
        <v>55.606337372727268</v>
      </c>
      <c r="G20" s="481">
        <f t="shared" si="6"/>
        <v>56.868601231088171</v>
      </c>
      <c r="H20" s="481">
        <f t="shared" si="6"/>
        <v>58.159518479033871</v>
      </c>
      <c r="I20" s="481">
        <f t="shared" si="6"/>
        <v>59.479739548507936</v>
      </c>
      <c r="J20" s="355"/>
    </row>
    <row r="21" spans="2:10">
      <c r="B21" s="82" t="s">
        <v>535</v>
      </c>
      <c r="C21" s="83"/>
      <c r="D21" s="354" t="s">
        <v>520</v>
      </c>
      <c r="E21" s="482">
        <f>Mercado!J25*0.9999</f>
        <v>89893069.457226455</v>
      </c>
      <c r="F21" s="482">
        <f>Mercado!K25*0.9999</f>
        <v>91933642.133905485</v>
      </c>
      <c r="G21" s="482">
        <f>Mercado!L25*0.9999</f>
        <v>94020535.810345143</v>
      </c>
      <c r="H21" s="482">
        <f>Mercado!M25*0.9999</f>
        <v>96154801.973239973</v>
      </c>
      <c r="I21" s="482">
        <f>Mercado!N25*0.9999</f>
        <v>98337515.9780325</v>
      </c>
      <c r="J21" s="353"/>
    </row>
    <row r="22" spans="2:10">
      <c r="B22" s="351" t="s">
        <v>525</v>
      </c>
      <c r="C22" s="187" t="s">
        <v>517</v>
      </c>
      <c r="D22" s="350" t="s">
        <v>520</v>
      </c>
      <c r="E22" s="438">
        <f>E21*0.907133</f>
        <v>81544969.775942206</v>
      </c>
      <c r="F22" s="438">
        <f t="shared" ref="F22:I22" si="7">F21*0.907133</f>
        <v>83396040.589856088</v>
      </c>
      <c r="G22" s="438">
        <f t="shared" si="7"/>
        <v>85289130.71124582</v>
      </c>
      <c r="H22" s="438">
        <f t="shared" si="7"/>
        <v>87225193.978391096</v>
      </c>
      <c r="I22" s="438">
        <f t="shared" si="7"/>
        <v>89205205.881700546</v>
      </c>
      <c r="J22" s="352" t="s">
        <v>0</v>
      </c>
    </row>
    <row r="23" spans="2:10">
      <c r="B23" s="351" t="s">
        <v>524</v>
      </c>
      <c r="C23" s="187" t="s">
        <v>62</v>
      </c>
      <c r="D23" s="350" t="s">
        <v>520</v>
      </c>
      <c r="E23" s="438">
        <f>E21*0.0557</f>
        <v>5007043.9687675135</v>
      </c>
      <c r="F23" s="438">
        <f t="shared" ref="F23:I23" si="8">F21*0.0557</f>
        <v>5120703.8668585354</v>
      </c>
      <c r="G23" s="438">
        <f t="shared" si="8"/>
        <v>5236943.8446362242</v>
      </c>
      <c r="H23" s="438">
        <f t="shared" si="8"/>
        <v>5355822.4699094668</v>
      </c>
      <c r="I23" s="438">
        <f t="shared" si="8"/>
        <v>5477399.6399764102</v>
      </c>
      <c r="J23" s="352" t="s">
        <v>0</v>
      </c>
    </row>
    <row r="24" spans="2:10">
      <c r="B24" s="351" t="s">
        <v>523</v>
      </c>
      <c r="C24" s="187" t="s">
        <v>63</v>
      </c>
      <c r="D24" s="350" t="s">
        <v>520</v>
      </c>
      <c r="E24" s="438">
        <f>E21*0.000515</f>
        <v>46294.930770471627</v>
      </c>
      <c r="F24" s="438">
        <f t="shared" ref="F24:I24" si="9">F21*0.000515</f>
        <v>47345.825698961329</v>
      </c>
      <c r="G24" s="438">
        <f t="shared" si="9"/>
        <v>48420.575942327756</v>
      </c>
      <c r="H24" s="438">
        <f t="shared" si="9"/>
        <v>49519.723016218588</v>
      </c>
      <c r="I24" s="438">
        <f t="shared" si="9"/>
        <v>50643.82072868674</v>
      </c>
      <c r="J24" s="352" t="s">
        <v>0</v>
      </c>
    </row>
    <row r="25" spans="2:10">
      <c r="B25" s="351" t="s">
        <v>522</v>
      </c>
      <c r="C25" s="187" t="s">
        <v>513</v>
      </c>
      <c r="D25" s="350" t="s">
        <v>520</v>
      </c>
      <c r="E25" s="438">
        <f>E21*0.036652</f>
        <v>3294760.7817462636</v>
      </c>
      <c r="F25" s="438">
        <f t="shared" ref="F25:I25" si="10">F21*0.036652</f>
        <v>3369551.8514919034</v>
      </c>
      <c r="G25" s="438">
        <f t="shared" si="10"/>
        <v>3446040.6785207698</v>
      </c>
      <c r="H25" s="438">
        <f t="shared" si="10"/>
        <v>3524265.8019231912</v>
      </c>
      <c r="I25" s="438">
        <f t="shared" si="10"/>
        <v>3604266.6356268469</v>
      </c>
      <c r="J25" s="352" t="s">
        <v>0</v>
      </c>
    </row>
    <row r="26" spans="2:10">
      <c r="B26" s="351" t="s">
        <v>521</v>
      </c>
      <c r="C26" s="187" t="s">
        <v>64</v>
      </c>
      <c r="D26" s="350" t="s">
        <v>520</v>
      </c>
      <c r="E26" s="481">
        <f>E21*0.000515</f>
        <v>46294.930770471627</v>
      </c>
      <c r="F26" s="481">
        <f t="shared" ref="F26:I26" si="11">F21*0.000515</f>
        <v>47345.825698961329</v>
      </c>
      <c r="G26" s="481">
        <f t="shared" si="11"/>
        <v>48420.575942327756</v>
      </c>
      <c r="H26" s="481">
        <f t="shared" si="11"/>
        <v>49519.723016218588</v>
      </c>
      <c r="I26" s="481">
        <f t="shared" si="11"/>
        <v>50643.82072868674</v>
      </c>
      <c r="J26" s="352"/>
    </row>
    <row r="27" spans="2:10">
      <c r="B27" s="82" t="s">
        <v>534</v>
      </c>
      <c r="C27" s="83"/>
      <c r="D27" s="354" t="s">
        <v>511</v>
      </c>
      <c r="E27" s="482">
        <f>Mercado!J25</f>
        <v>89902059.663192779</v>
      </c>
      <c r="F27" s="482">
        <f>Mercado!K25</f>
        <v>91942836.417547241</v>
      </c>
      <c r="G27" s="482">
        <f>Mercado!L25</f>
        <v>94029938.804225564</v>
      </c>
      <c r="H27" s="482">
        <f>Mercado!M25</f>
        <v>96164418.415081486</v>
      </c>
      <c r="I27" s="482">
        <f>Mercado!N25</f>
        <v>98347350.713103816</v>
      </c>
      <c r="J27" s="353"/>
    </row>
    <row r="28" spans="2:10">
      <c r="B28" s="351" t="s">
        <v>518</v>
      </c>
      <c r="C28" s="187" t="s">
        <v>517</v>
      </c>
      <c r="D28" s="350" t="s">
        <v>511</v>
      </c>
      <c r="E28" s="438">
        <f>E27*0.907133</f>
        <v>81553125.088451058</v>
      </c>
      <c r="F28" s="438">
        <f t="shared" ref="F28:I28" si="12">F27*0.907133</f>
        <v>83404381.027958885</v>
      </c>
      <c r="G28" s="438">
        <f t="shared" si="12"/>
        <v>85297660.477293551</v>
      </c>
      <c r="H28" s="438">
        <f t="shared" si="12"/>
        <v>87233917.37012811</v>
      </c>
      <c r="I28" s="438">
        <f t="shared" si="12"/>
        <v>89214127.294430003</v>
      </c>
      <c r="J28" s="352" t="s">
        <v>0</v>
      </c>
    </row>
    <row r="29" spans="2:10">
      <c r="B29" s="351" t="s">
        <v>516</v>
      </c>
      <c r="C29" s="187" t="s">
        <v>62</v>
      </c>
      <c r="D29" s="350" t="s">
        <v>511</v>
      </c>
      <c r="E29" s="438">
        <f>E27*0.0557</f>
        <v>5007544.7232398381</v>
      </c>
      <c r="F29" s="438">
        <f t="shared" ref="F29:I29" si="13">F27*0.0557</f>
        <v>5121215.9884573817</v>
      </c>
      <c r="G29" s="438">
        <f t="shared" si="13"/>
        <v>5237467.5913953641</v>
      </c>
      <c r="H29" s="438">
        <f t="shared" si="13"/>
        <v>5356358.1057200385</v>
      </c>
      <c r="I29" s="438">
        <f t="shared" si="13"/>
        <v>5477947.4347198829</v>
      </c>
      <c r="J29" s="352" t="s">
        <v>0</v>
      </c>
    </row>
    <row r="30" spans="2:10">
      <c r="B30" s="351" t="s">
        <v>515</v>
      </c>
      <c r="C30" s="187" t="s">
        <v>63</v>
      </c>
      <c r="D30" s="350" t="s">
        <v>511</v>
      </c>
      <c r="E30" s="438">
        <f>E27*0.000515</f>
        <v>46299.560726544289</v>
      </c>
      <c r="F30" s="438">
        <f t="shared" ref="F30:I30" si="14">F27*0.000515</f>
        <v>47350.560755036837</v>
      </c>
      <c r="G30" s="438">
        <f t="shared" si="14"/>
        <v>48425.418484176167</v>
      </c>
      <c r="H30" s="438">
        <f t="shared" si="14"/>
        <v>49524.675483766972</v>
      </c>
      <c r="I30" s="438">
        <f t="shared" si="14"/>
        <v>50648.885617248467</v>
      </c>
      <c r="J30" s="352" t="s">
        <v>0</v>
      </c>
    </row>
    <row r="31" spans="2:10">
      <c r="B31" s="351" t="s">
        <v>514</v>
      </c>
      <c r="C31" s="187" t="s">
        <v>513</v>
      </c>
      <c r="D31" s="350" t="s">
        <v>511</v>
      </c>
      <c r="E31" s="438">
        <f>E27*0.036652</f>
        <v>3295090.2907753414</v>
      </c>
      <c r="F31" s="438">
        <f t="shared" ref="F31:I31" si="15">F27*0.036652</f>
        <v>3369888.8403759412</v>
      </c>
      <c r="G31" s="438">
        <f t="shared" si="15"/>
        <v>3446385.3170524752</v>
      </c>
      <c r="H31" s="438">
        <f t="shared" si="15"/>
        <v>3524618.2637495664</v>
      </c>
      <c r="I31" s="438">
        <f t="shared" si="15"/>
        <v>3604627.0983366808</v>
      </c>
      <c r="J31" s="390" t="s">
        <v>0</v>
      </c>
    </row>
    <row r="32" spans="2:10">
      <c r="B32" s="351" t="s">
        <v>512</v>
      </c>
      <c r="C32" s="187" t="s">
        <v>64</v>
      </c>
      <c r="D32" s="350" t="s">
        <v>511</v>
      </c>
      <c r="E32" s="438">
        <f>E27*0.000515</f>
        <v>46299.560726544289</v>
      </c>
      <c r="F32" s="438">
        <f t="shared" ref="F32:I32" si="16">F27*0.000515</f>
        <v>47350.560755036837</v>
      </c>
      <c r="G32" s="438">
        <f t="shared" si="16"/>
        <v>48425.418484176167</v>
      </c>
      <c r="H32" s="438">
        <f t="shared" si="16"/>
        <v>49524.675483766972</v>
      </c>
      <c r="I32" s="438">
        <f t="shared" si="16"/>
        <v>50648.885617248467</v>
      </c>
      <c r="J32" s="349"/>
    </row>
    <row r="33" spans="2:18" ht="15.75">
      <c r="B33" s="348" t="s">
        <v>533</v>
      </c>
      <c r="C33" s="347"/>
      <c r="D33" s="346" t="s">
        <v>508</v>
      </c>
      <c r="E33" s="345"/>
      <c r="F33" s="344"/>
      <c r="G33" s="344"/>
      <c r="H33" s="344"/>
      <c r="I33" s="343"/>
      <c r="J33" s="342"/>
    </row>
    <row r="34" spans="2:18" ht="15.75">
      <c r="B34" s="348" t="s">
        <v>509</v>
      </c>
      <c r="C34" s="347"/>
      <c r="D34" s="346" t="s">
        <v>508</v>
      </c>
      <c r="E34" s="345"/>
      <c r="F34" s="344"/>
      <c r="G34" s="344"/>
      <c r="H34" s="344"/>
      <c r="I34" s="343"/>
      <c r="J34" s="342"/>
    </row>
    <row r="35" spans="2:18">
      <c r="B35" s="389"/>
      <c r="C35" s="388"/>
      <c r="D35" s="387"/>
      <c r="E35" s="386"/>
      <c r="F35" s="385"/>
      <c r="G35" s="385"/>
      <c r="H35" s="385"/>
      <c r="I35" s="385"/>
      <c r="J35" s="385"/>
    </row>
    <row r="36" spans="2:18" ht="15.75" thickBot="1"/>
    <row r="37" spans="2:18" ht="15.75">
      <c r="B37" s="384" t="s">
        <v>9</v>
      </c>
      <c r="C37" s="383"/>
      <c r="D37" s="383"/>
      <c r="E37" s="382"/>
      <c r="F37" s="382"/>
      <c r="G37" s="382"/>
      <c r="H37" s="382"/>
      <c r="I37" s="382"/>
      <c r="J37" s="381"/>
    </row>
    <row r="38" spans="2:18" ht="15.75">
      <c r="B38" s="380" t="s">
        <v>532</v>
      </c>
      <c r="C38" s="379"/>
      <c r="D38" s="379"/>
      <c r="E38" s="378"/>
      <c r="F38" s="378"/>
      <c r="G38" s="378"/>
      <c r="H38" s="378"/>
      <c r="I38" s="378"/>
      <c r="J38" s="377"/>
    </row>
    <row r="39" spans="2:18" ht="16.5" thickBot="1">
      <c r="B39" s="376" t="s">
        <v>531</v>
      </c>
      <c r="C39" s="375"/>
      <c r="D39" s="375"/>
      <c r="E39" s="375"/>
      <c r="F39" s="375"/>
      <c r="G39" s="375"/>
      <c r="H39" s="375"/>
      <c r="I39" s="375"/>
      <c r="J39" s="374"/>
    </row>
    <row r="40" spans="2:18" ht="16.5" thickBot="1">
      <c r="B40" s="19"/>
      <c r="C40" s="20"/>
      <c r="D40" s="20"/>
      <c r="E40" s="285"/>
      <c r="F40" s="285"/>
      <c r="G40" s="285"/>
      <c r="H40" s="285"/>
      <c r="I40" s="285"/>
      <c r="J40" s="285"/>
    </row>
    <row r="41" spans="2:18" ht="16.5" thickTop="1">
      <c r="B41" s="657" t="s">
        <v>15</v>
      </c>
      <c r="C41" s="658"/>
      <c r="D41" s="22" t="s">
        <v>16</v>
      </c>
      <c r="E41" s="373">
        <v>2021</v>
      </c>
      <c r="F41" s="373">
        <v>2022</v>
      </c>
      <c r="G41" s="373">
        <v>2023</v>
      </c>
      <c r="H41" s="373">
        <v>2024</v>
      </c>
      <c r="I41" s="373">
        <v>2025</v>
      </c>
      <c r="J41" s="373">
        <v>2026</v>
      </c>
    </row>
    <row r="42" spans="2:18">
      <c r="B42" s="23"/>
      <c r="C42" s="23"/>
      <c r="D42" s="23"/>
      <c r="E42"/>
      <c r="F42"/>
      <c r="G42"/>
      <c r="H42"/>
      <c r="I42"/>
      <c r="J42"/>
    </row>
    <row r="43" spans="2:18" ht="15.75">
      <c r="B43" s="372" t="s">
        <v>530</v>
      </c>
      <c r="C43" s="371"/>
      <c r="D43" s="370"/>
      <c r="E43"/>
      <c r="F43"/>
      <c r="G43"/>
      <c r="H43"/>
      <c r="I43"/>
      <c r="J43"/>
    </row>
    <row r="44" spans="2:18" ht="15.75">
      <c r="B44" s="369" t="s">
        <v>529</v>
      </c>
      <c r="C44" s="83"/>
      <c r="D44" s="365" t="s">
        <v>527</v>
      </c>
      <c r="E44" s="364"/>
      <c r="F44" s="363"/>
      <c r="G44" s="363"/>
      <c r="H44" s="363"/>
      <c r="I44" s="362"/>
      <c r="J44" s="361"/>
      <c r="K44" s="367"/>
    </row>
    <row r="45" spans="2:18" ht="15.75">
      <c r="B45" s="360" t="s">
        <v>82</v>
      </c>
      <c r="C45" s="187" t="s">
        <v>517</v>
      </c>
      <c r="D45" s="359" t="s">
        <v>508</v>
      </c>
      <c r="E45" s="428">
        <f>239785+5310</f>
        <v>245095</v>
      </c>
      <c r="F45" s="428">
        <f>293825+5101</f>
        <v>298926</v>
      </c>
      <c r="G45" s="428">
        <f>347243+4893</f>
        <v>352136</v>
      </c>
      <c r="H45" s="428">
        <f>384162+4684</f>
        <v>388846</v>
      </c>
      <c r="I45" s="429">
        <f>417081+4476</f>
        <v>421557</v>
      </c>
      <c r="J45" s="368" t="s">
        <v>0</v>
      </c>
      <c r="K45" s="367"/>
      <c r="L45" s="478">
        <f>SUM(L46:L49)</f>
        <v>89894608</v>
      </c>
      <c r="M45" s="478">
        <f t="shared" ref="M45:P45" si="17">SUM(M46:M49)</f>
        <v>91139384</v>
      </c>
      <c r="N45" s="478">
        <f t="shared" si="17"/>
        <v>92484825</v>
      </c>
      <c r="O45" s="478">
        <f t="shared" si="17"/>
        <v>93850160</v>
      </c>
      <c r="P45" s="478">
        <f t="shared" si="17"/>
        <v>95236175</v>
      </c>
    </row>
    <row r="46" spans="2:18" ht="15.75">
      <c r="B46" s="357" t="s">
        <v>85</v>
      </c>
      <c r="C46" s="187" t="s">
        <v>62</v>
      </c>
      <c r="D46" s="358" t="s">
        <v>508</v>
      </c>
      <c r="E46" s="428">
        <f>21148+765</f>
        <v>21913</v>
      </c>
      <c r="F46" s="428">
        <f>25921+735</f>
        <v>26656</v>
      </c>
      <c r="G46" s="428">
        <f>30645+705</f>
        <v>31350</v>
      </c>
      <c r="H46" s="428">
        <f>33912+675</f>
        <v>34587</v>
      </c>
      <c r="I46" s="429">
        <f>36826+645</f>
        <v>37471</v>
      </c>
      <c r="J46" s="368" t="s">
        <v>0</v>
      </c>
      <c r="K46" s="367"/>
      <c r="L46" s="478">
        <v>81546350</v>
      </c>
      <c r="M46" s="478">
        <v>82675072</v>
      </c>
      <c r="N46" s="478">
        <v>83895491</v>
      </c>
      <c r="O46" s="478">
        <v>85134032</v>
      </c>
      <c r="P46" s="478">
        <v>86391332</v>
      </c>
      <c r="R46" s="207" t="e">
        <f>L46/$L$27</f>
        <v>#DIV/0!</v>
      </c>
    </row>
    <row r="47" spans="2:18" ht="15.75">
      <c r="B47" s="357" t="s">
        <v>87</v>
      </c>
      <c r="C47" s="187" t="s">
        <v>63</v>
      </c>
      <c r="D47" s="358" t="s">
        <v>508</v>
      </c>
      <c r="E47" s="428">
        <f>18+7</f>
        <v>25</v>
      </c>
      <c r="F47" s="428">
        <f>22+7</f>
        <v>29</v>
      </c>
      <c r="G47" s="428">
        <f>26+6</f>
        <v>32</v>
      </c>
      <c r="H47" s="428">
        <f>29+6</f>
        <v>35</v>
      </c>
      <c r="I47" s="429">
        <f>32+6</f>
        <v>38</v>
      </c>
      <c r="J47" s="368" t="s">
        <v>0</v>
      </c>
      <c r="K47" s="367"/>
      <c r="L47" s="478">
        <v>5006955</v>
      </c>
      <c r="M47" s="478">
        <v>5076194</v>
      </c>
      <c r="N47" s="478">
        <v>5151120</v>
      </c>
      <c r="O47" s="478">
        <v>5227170</v>
      </c>
      <c r="P47" s="478">
        <v>5304372</v>
      </c>
      <c r="R47" s="207" t="e">
        <f t="shared" ref="R47:R49" si="18">L47/$L$27</f>
        <v>#DIV/0!</v>
      </c>
    </row>
    <row r="48" spans="2:18" ht="15.75">
      <c r="B48" s="357" t="s">
        <v>89</v>
      </c>
      <c r="C48" s="187" t="s">
        <v>513</v>
      </c>
      <c r="D48" s="358" t="s">
        <v>508</v>
      </c>
      <c r="E48" s="428">
        <f>2384+27</f>
        <v>2411</v>
      </c>
      <c r="F48" s="428">
        <f>2921+26</f>
        <v>2947</v>
      </c>
      <c r="G48" s="428">
        <f>3451+25</f>
        <v>3476</v>
      </c>
      <c r="H48" s="428">
        <f>3817+24</f>
        <v>3841</v>
      </c>
      <c r="I48" s="429">
        <f>4144+23</f>
        <v>4167</v>
      </c>
      <c r="J48" s="368" t="s">
        <v>0</v>
      </c>
      <c r="K48" s="367"/>
      <c r="L48" s="478">
        <v>46301</v>
      </c>
      <c r="M48" s="478">
        <v>46941</v>
      </c>
      <c r="N48" s="478">
        <v>47634</v>
      </c>
      <c r="O48" s="478">
        <v>48337</v>
      </c>
      <c r="P48" s="478">
        <v>49051</v>
      </c>
      <c r="R48" s="207" t="e">
        <f t="shared" si="18"/>
        <v>#DIV/0!</v>
      </c>
    </row>
    <row r="49" spans="2:18" ht="15.75">
      <c r="B49" s="357" t="s">
        <v>91</v>
      </c>
      <c r="C49" s="187" t="s">
        <v>64</v>
      </c>
      <c r="D49" s="356" t="s">
        <v>508</v>
      </c>
      <c r="E49" s="428"/>
      <c r="F49" s="433"/>
      <c r="G49" s="433"/>
      <c r="H49" s="433"/>
      <c r="I49" s="434"/>
      <c r="J49" s="355"/>
      <c r="L49" s="478">
        <v>3295002</v>
      </c>
      <c r="M49" s="478">
        <v>3341177</v>
      </c>
      <c r="N49" s="478">
        <v>3390580</v>
      </c>
      <c r="O49" s="478">
        <v>3440621</v>
      </c>
      <c r="P49" s="478">
        <v>3491420</v>
      </c>
      <c r="R49" s="207" t="e">
        <f t="shared" si="18"/>
        <v>#DIV/0!</v>
      </c>
    </row>
    <row r="50" spans="2:18" ht="15.75">
      <c r="B50" s="82" t="s">
        <v>528</v>
      </c>
      <c r="C50" s="83"/>
      <c r="D50" s="365" t="s">
        <v>527</v>
      </c>
      <c r="E50" s="430"/>
      <c r="F50" s="431"/>
      <c r="G50" s="431"/>
      <c r="H50" s="431"/>
      <c r="I50" s="432"/>
      <c r="J50" s="361"/>
    </row>
    <row r="51" spans="2:18" ht="15.75">
      <c r="B51" s="360" t="s">
        <v>106</v>
      </c>
      <c r="C51" s="187" t="s">
        <v>517</v>
      </c>
      <c r="D51" s="359" t="s">
        <v>508</v>
      </c>
      <c r="E51" s="428"/>
      <c r="F51" s="433"/>
      <c r="G51" s="433"/>
      <c r="H51" s="433"/>
      <c r="I51" s="434"/>
      <c r="J51" s="355"/>
    </row>
    <row r="52" spans="2:18" ht="15.75">
      <c r="B52" s="357" t="s">
        <v>107</v>
      </c>
      <c r="C52" s="187" t="s">
        <v>62</v>
      </c>
      <c r="D52" s="358" t="s">
        <v>508</v>
      </c>
      <c r="E52" s="428"/>
      <c r="F52" s="433"/>
      <c r="G52" s="433"/>
      <c r="H52" s="433"/>
      <c r="I52" s="434"/>
      <c r="J52" s="355"/>
    </row>
    <row r="53" spans="2:18" ht="15.75">
      <c r="B53" s="357" t="s">
        <v>108</v>
      </c>
      <c r="C53" s="187" t="s">
        <v>63</v>
      </c>
      <c r="D53" s="358" t="s">
        <v>508</v>
      </c>
      <c r="E53" s="428"/>
      <c r="F53" s="433"/>
      <c r="G53" s="433"/>
      <c r="H53" s="433"/>
      <c r="I53" s="434"/>
      <c r="J53" s="355"/>
    </row>
    <row r="54" spans="2:18" ht="15.75">
      <c r="B54" s="357" t="s">
        <v>109</v>
      </c>
      <c r="C54" s="187" t="s">
        <v>513</v>
      </c>
      <c r="D54" s="358" t="s">
        <v>508</v>
      </c>
      <c r="E54" s="428"/>
      <c r="F54" s="433"/>
      <c r="G54" s="433"/>
      <c r="H54" s="433"/>
      <c r="I54" s="434"/>
      <c r="J54" s="355"/>
    </row>
    <row r="55" spans="2:18" ht="15.75">
      <c r="B55" s="357" t="s">
        <v>110</v>
      </c>
      <c r="C55" s="187" t="s">
        <v>64</v>
      </c>
      <c r="D55" s="356" t="s">
        <v>508</v>
      </c>
      <c r="E55" s="428"/>
      <c r="F55" s="433"/>
      <c r="G55" s="433"/>
      <c r="H55" s="433"/>
      <c r="I55" s="434"/>
      <c r="J55" s="355"/>
    </row>
    <row r="56" spans="2:18">
      <c r="B56" s="659" t="s">
        <v>526</v>
      </c>
      <c r="C56" s="660"/>
      <c r="D56" s="354" t="s">
        <v>520</v>
      </c>
      <c r="E56" s="435"/>
      <c r="F56" s="436"/>
      <c r="G56" s="436"/>
      <c r="H56" s="436"/>
      <c r="I56" s="437"/>
      <c r="J56" s="353"/>
    </row>
    <row r="57" spans="2:18">
      <c r="B57" s="351" t="s">
        <v>525</v>
      </c>
      <c r="C57" s="187" t="s">
        <v>517</v>
      </c>
      <c r="D57" s="350" t="s">
        <v>520</v>
      </c>
      <c r="E57" s="446">
        <v>38421075</v>
      </c>
      <c r="F57" s="446">
        <v>47507021</v>
      </c>
      <c r="G57" s="438">
        <v>56727817</v>
      </c>
      <c r="H57" s="438">
        <v>63420557</v>
      </c>
      <c r="I57" s="439">
        <v>69582609</v>
      </c>
      <c r="J57" s="352" t="s">
        <v>0</v>
      </c>
    </row>
    <row r="58" spans="2:18">
      <c r="B58" s="351" t="s">
        <v>524</v>
      </c>
      <c r="C58" s="187" t="s">
        <v>62</v>
      </c>
      <c r="D58" s="350" t="s">
        <v>520</v>
      </c>
      <c r="E58" s="446">
        <v>3852939</v>
      </c>
      <c r="F58" s="447">
        <v>4765975</v>
      </c>
      <c r="G58" s="438">
        <v>5692577</v>
      </c>
      <c r="H58" s="438">
        <v>6365782</v>
      </c>
      <c r="I58" s="439">
        <v>6365782</v>
      </c>
      <c r="J58" s="352" t="s">
        <v>0</v>
      </c>
    </row>
    <row r="59" spans="2:18">
      <c r="B59" s="351" t="s">
        <v>523</v>
      </c>
      <c r="C59" s="187" t="s">
        <v>63</v>
      </c>
      <c r="D59" s="350" t="s">
        <v>520</v>
      </c>
      <c r="E59" s="446">
        <v>10352</v>
      </c>
      <c r="F59" s="438">
        <v>12931</v>
      </c>
      <c r="G59" s="438">
        <v>15549</v>
      </c>
      <c r="H59" s="438">
        <v>17495</v>
      </c>
      <c r="I59" s="439">
        <v>19302</v>
      </c>
      <c r="J59" s="352" t="s">
        <v>0</v>
      </c>
    </row>
    <row r="60" spans="2:18">
      <c r="B60" s="351" t="s">
        <v>522</v>
      </c>
      <c r="C60" s="187" t="s">
        <v>513</v>
      </c>
      <c r="D60" s="350" t="s">
        <v>520</v>
      </c>
      <c r="E60" s="446">
        <v>2463331</v>
      </c>
      <c r="F60" s="438">
        <v>3044954</v>
      </c>
      <c r="G60" s="438">
        <v>3635204</v>
      </c>
      <c r="H60" s="438">
        <v>4063309</v>
      </c>
      <c r="I60" s="439">
        <v>4457360</v>
      </c>
      <c r="J60" s="352" t="s">
        <v>0</v>
      </c>
    </row>
    <row r="61" spans="2:18">
      <c r="B61" s="351" t="s">
        <v>521</v>
      </c>
      <c r="C61" s="187" t="s">
        <v>64</v>
      </c>
      <c r="D61" s="350" t="s">
        <v>520</v>
      </c>
      <c r="E61" s="440"/>
      <c r="F61" s="441"/>
      <c r="G61" s="441"/>
      <c r="H61" s="441"/>
      <c r="I61" s="442"/>
      <c r="J61" s="352"/>
    </row>
    <row r="62" spans="2:18">
      <c r="B62" s="82" t="s">
        <v>519</v>
      </c>
      <c r="C62" s="83"/>
      <c r="D62" s="354" t="s">
        <v>511</v>
      </c>
      <c r="E62" s="435"/>
      <c r="F62" s="436"/>
      <c r="G62" s="436"/>
      <c r="H62" s="436"/>
      <c r="I62" s="437"/>
      <c r="J62" s="353"/>
    </row>
    <row r="63" spans="2:18">
      <c r="B63" s="351" t="s">
        <v>518</v>
      </c>
      <c r="C63" s="187" t="s">
        <v>517</v>
      </c>
      <c r="D63" s="350" t="s">
        <v>511</v>
      </c>
      <c r="E63" s="448">
        <f>38421075+637200</f>
        <v>39058275</v>
      </c>
      <c r="F63" s="443">
        <f>47507021+612167</f>
        <v>48119188</v>
      </c>
      <c r="G63" s="443">
        <f>56727817+587134</f>
        <v>57314951</v>
      </c>
      <c r="H63" s="443">
        <f>63420557+562101</f>
        <v>63982658</v>
      </c>
      <c r="I63" s="444">
        <f>69582609+537067</f>
        <v>70119676</v>
      </c>
      <c r="J63" s="352" t="s">
        <v>0</v>
      </c>
    </row>
    <row r="64" spans="2:18">
      <c r="B64" s="351" t="s">
        <v>516</v>
      </c>
      <c r="C64" s="187" t="s">
        <v>62</v>
      </c>
      <c r="D64" s="350" t="s">
        <v>511</v>
      </c>
      <c r="E64" s="449">
        <f>3852939+91767</f>
        <v>3944706</v>
      </c>
      <c r="F64" s="443">
        <f>4765975+88162</f>
        <v>4854137</v>
      </c>
      <c r="G64" s="443">
        <f>5692577+84557</f>
        <v>5777134</v>
      </c>
      <c r="H64" s="443">
        <f>6365782+80952</f>
        <v>6446734</v>
      </c>
      <c r="I64" s="444">
        <f>6985831+77346</f>
        <v>7063177</v>
      </c>
      <c r="J64" s="352" t="s">
        <v>0</v>
      </c>
    </row>
    <row r="65" spans="2:15">
      <c r="B65" s="351" t="s">
        <v>515</v>
      </c>
      <c r="C65" s="187" t="s">
        <v>63</v>
      </c>
      <c r="D65" s="350" t="s">
        <v>511</v>
      </c>
      <c r="E65" s="443">
        <f>10352+1410</f>
        <v>11762</v>
      </c>
      <c r="F65" s="443">
        <f>12931+1355</f>
        <v>14286</v>
      </c>
      <c r="G65" s="443">
        <f>15549+1299</f>
        <v>16848</v>
      </c>
      <c r="H65" s="443">
        <f>17495+1244</f>
        <v>18739</v>
      </c>
      <c r="I65" s="444">
        <f>19302+1188</f>
        <v>20490</v>
      </c>
      <c r="J65" s="352" t="s">
        <v>0</v>
      </c>
    </row>
    <row r="66" spans="2:15">
      <c r="B66" s="351" t="s">
        <v>514</v>
      </c>
      <c r="C66" s="187" t="s">
        <v>513</v>
      </c>
      <c r="D66" s="350" t="s">
        <v>511</v>
      </c>
      <c r="E66" s="443">
        <f>2463331+6580</f>
        <v>2469911</v>
      </c>
      <c r="F66" s="443">
        <f>3044954+6321</f>
        <v>3051275</v>
      </c>
      <c r="G66" s="443">
        <f>3635204+6063</f>
        <v>3641267</v>
      </c>
      <c r="H66" s="443">
        <f>4063309+5804</f>
        <v>4069113</v>
      </c>
      <c r="I66" s="443">
        <f>4457360+5546</f>
        <v>4462906</v>
      </c>
      <c r="J66" s="352" t="s">
        <v>0</v>
      </c>
    </row>
    <row r="67" spans="2:15">
      <c r="B67" s="351" t="s">
        <v>512</v>
      </c>
      <c r="C67" s="187" t="s">
        <v>64</v>
      </c>
      <c r="D67" s="350" t="s">
        <v>511</v>
      </c>
      <c r="E67" s="440"/>
      <c r="F67" s="441"/>
      <c r="G67" s="441"/>
      <c r="H67" s="441"/>
      <c r="I67" s="445"/>
      <c r="J67" s="349"/>
    </row>
    <row r="68" spans="2:15" ht="15.75">
      <c r="B68" s="348" t="s">
        <v>510</v>
      </c>
      <c r="C68" s="347"/>
      <c r="D68" s="346" t="s">
        <v>508</v>
      </c>
      <c r="E68" s="450"/>
      <c r="F68" s="451"/>
      <c r="G68" s="451"/>
      <c r="H68" s="451"/>
      <c r="I68" s="452"/>
      <c r="J68" s="342"/>
    </row>
    <row r="69" spans="2:15" ht="15.75">
      <c r="B69" s="348" t="s">
        <v>509</v>
      </c>
      <c r="C69" s="347"/>
      <c r="D69" s="346" t="s">
        <v>508</v>
      </c>
      <c r="E69" s="450"/>
      <c r="F69" s="451"/>
      <c r="G69" s="451"/>
      <c r="H69" s="451"/>
      <c r="I69" s="452"/>
      <c r="J69" s="342"/>
    </row>
    <row r="70" spans="2:15" ht="15.75" thickBot="1">
      <c r="B70" s="341"/>
      <c r="C70" s="340"/>
      <c r="D70" s="340"/>
      <c r="E70" s="339"/>
      <c r="F70" s="339"/>
      <c r="G70" s="339"/>
      <c r="H70" s="339"/>
      <c r="I70" s="339"/>
      <c r="J70" s="339"/>
    </row>
    <row r="71" spans="2:15" ht="15.75" thickTop="1">
      <c r="B71" s="204"/>
    </row>
    <row r="73" spans="2:15">
      <c r="D73" s="334"/>
      <c r="E73" s="333"/>
      <c r="F73" s="332"/>
      <c r="G73" s="332"/>
      <c r="H73" s="332"/>
      <c r="I73" s="332"/>
      <c r="J73" s="332"/>
    </row>
    <row r="74" spans="2:15" ht="15.75">
      <c r="C74" s="335" t="s">
        <v>507</v>
      </c>
      <c r="D74" s="336"/>
      <c r="E74" s="338"/>
      <c r="F74" s="337"/>
      <c r="G74" s="337"/>
      <c r="H74" s="337"/>
      <c r="I74" s="337"/>
      <c r="J74" s="337"/>
      <c r="K74" s="336"/>
      <c r="L74" s="479"/>
      <c r="M74" s="479"/>
      <c r="N74" s="479"/>
      <c r="O74" s="479"/>
    </row>
    <row r="75" spans="2:15" ht="15.75">
      <c r="C75" s="335" t="s">
        <v>506</v>
      </c>
      <c r="D75" s="336"/>
      <c r="E75" s="336"/>
      <c r="F75" s="336"/>
      <c r="G75" s="336"/>
      <c r="H75" s="336"/>
      <c r="I75" s="336"/>
      <c r="J75" s="336"/>
      <c r="K75" s="336"/>
      <c r="L75" s="479"/>
      <c r="M75" s="479"/>
      <c r="N75" s="479"/>
      <c r="O75" s="479"/>
    </row>
    <row r="76" spans="2:15" ht="15.75">
      <c r="C76" s="335" t="s">
        <v>505</v>
      </c>
      <c r="D76" s="334"/>
      <c r="E76" s="333"/>
      <c r="F76" s="332"/>
      <c r="G76" s="332"/>
      <c r="H76" s="332"/>
      <c r="I76" s="332"/>
      <c r="J76" s="332"/>
    </row>
    <row r="77" spans="2:15">
      <c r="E77" s="333"/>
      <c r="F77" s="332"/>
      <c r="G77" s="332"/>
      <c r="H77" s="332"/>
      <c r="I77" s="332"/>
      <c r="J77" s="332"/>
    </row>
    <row r="79" spans="2:15">
      <c r="E79" s="333"/>
      <c r="F79" s="332"/>
      <c r="G79" s="332"/>
      <c r="H79" s="332"/>
      <c r="I79" s="332"/>
      <c r="J79" s="332"/>
    </row>
    <row r="80" spans="2:15">
      <c r="E80" s="333"/>
      <c r="F80" s="332"/>
      <c r="G80" s="332"/>
      <c r="H80" s="332"/>
      <c r="I80" s="332"/>
      <c r="J80" s="332"/>
    </row>
    <row r="82" spans="5:10">
      <c r="E82" s="333"/>
      <c r="F82" s="332"/>
      <c r="G82" s="332"/>
      <c r="H82" s="332"/>
      <c r="I82" s="332"/>
      <c r="J82" s="332"/>
    </row>
    <row r="83" spans="5:10">
      <c r="E83" s="333"/>
      <c r="F83" s="332"/>
      <c r="G83" s="332"/>
      <c r="H83" s="332"/>
      <c r="I83" s="332"/>
      <c r="J83" s="332"/>
    </row>
  </sheetData>
  <sheetProtection algorithmName="SHA-512" hashValue="9u+Yp5ZO+xcSsyH/MsYqcXcayf9nJpRP5hkwSSS76irvirCU2hP5WisJHT/O2YZB/O9SE2ZCfuvdEMtKZK7MEw==" saltValue="zYkpV0Rvok8KQWOVj2SW7Q==" spinCount="100000" sheet="1" objects="1" scenarios="1" selectLockedCells="1" selectUnlockedCells="1"/>
  <mergeCells count="3">
    <mergeCell ref="B6:C6"/>
    <mergeCell ref="B41:C41"/>
    <mergeCell ref="B56:C5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>
    <tabColor rgb="FFFFFF00"/>
  </sheetPr>
  <dimension ref="B1:U93"/>
  <sheetViews>
    <sheetView showGridLines="0" topLeftCell="A19" zoomScale="70" zoomScaleNormal="70" workbookViewId="0">
      <selection activeCell="M32" sqref="M32"/>
    </sheetView>
  </sheetViews>
  <sheetFormatPr defaultRowHeight="15"/>
  <cols>
    <col min="1" max="1" width="10.7109375" customWidth="1"/>
    <col min="2" max="2" width="5.140625" customWidth="1"/>
    <col min="3" max="3" width="31.140625" customWidth="1"/>
    <col min="4" max="4" width="43" customWidth="1"/>
    <col min="5" max="10" width="17.140625" customWidth="1"/>
    <col min="11" max="11" width="10.140625" bestFit="1" customWidth="1"/>
    <col min="13" max="13" width="77.140625" bestFit="1" customWidth="1"/>
    <col min="14" max="14" width="10" bestFit="1" customWidth="1"/>
    <col min="15" max="15" width="11.140625" bestFit="1" customWidth="1"/>
    <col min="16" max="16" width="12.7109375" bestFit="1" customWidth="1"/>
    <col min="17" max="17" width="19" bestFit="1" customWidth="1"/>
    <col min="18" max="18" width="11.140625" bestFit="1" customWidth="1"/>
    <col min="19" max="20" width="5.85546875" bestFit="1" customWidth="1"/>
  </cols>
  <sheetData>
    <row r="1" spans="2:21" ht="15" customHeight="1" thickBot="1"/>
    <row r="2" spans="2:21" ht="15.75">
      <c r="B2" s="6" t="s">
        <v>9</v>
      </c>
      <c r="C2" s="7"/>
      <c r="D2" s="7"/>
      <c r="E2" s="8"/>
      <c r="F2" s="8"/>
      <c r="G2" s="662"/>
      <c r="H2" s="662"/>
      <c r="I2" s="662"/>
      <c r="J2" s="663"/>
      <c r="M2" s="164" t="s">
        <v>9</v>
      </c>
      <c r="N2" s="44"/>
      <c r="O2" s="44"/>
      <c r="P2" s="44"/>
      <c r="Q2" s="166"/>
      <c r="R2" s="166"/>
      <c r="S2" s="166"/>
      <c r="T2" s="166"/>
    </row>
    <row r="3" spans="2:21" ht="15.75">
      <c r="B3" s="9" t="s">
        <v>10</v>
      </c>
      <c r="C3" s="10"/>
      <c r="D3" s="11" t="s">
        <v>0</v>
      </c>
      <c r="E3" s="12" t="s">
        <v>11</v>
      </c>
      <c r="F3" s="12"/>
      <c r="G3" s="664"/>
      <c r="H3" s="664"/>
      <c r="I3" s="664"/>
      <c r="J3" s="665"/>
      <c r="M3" s="168" t="s">
        <v>10</v>
      </c>
      <c r="N3" s="47"/>
      <c r="O3" s="47" t="s">
        <v>0</v>
      </c>
      <c r="P3" s="47" t="s">
        <v>11</v>
      </c>
      <c r="Q3" s="171"/>
      <c r="R3" s="172"/>
      <c r="S3" s="172"/>
      <c r="T3" s="172"/>
    </row>
    <row r="4" spans="2:21" ht="15.75">
      <c r="B4" s="13" t="s">
        <v>12</v>
      </c>
      <c r="C4" s="14"/>
      <c r="D4" s="14"/>
      <c r="E4" s="15"/>
      <c r="F4" s="15"/>
      <c r="G4" s="664"/>
      <c r="H4" s="664"/>
      <c r="I4" s="664"/>
      <c r="J4" s="665"/>
      <c r="M4" s="174" t="s">
        <v>460</v>
      </c>
      <c r="N4" s="172"/>
      <c r="O4" s="172"/>
      <c r="P4" s="172"/>
      <c r="Q4" s="172"/>
      <c r="R4" s="172"/>
      <c r="S4" s="172"/>
      <c r="T4" s="172"/>
    </row>
    <row r="5" spans="2:21" ht="16.5" thickBot="1">
      <c r="B5" s="13" t="s">
        <v>13</v>
      </c>
      <c r="C5" s="14"/>
      <c r="D5" s="14"/>
      <c r="E5" s="15"/>
      <c r="F5" s="15"/>
      <c r="G5" s="664"/>
      <c r="H5" s="664"/>
      <c r="I5" s="664"/>
      <c r="J5" s="665"/>
      <c r="M5" s="176" t="s">
        <v>461</v>
      </c>
      <c r="N5" s="177"/>
      <c r="O5" s="177"/>
      <c r="P5" s="177"/>
      <c r="Q5" s="177"/>
      <c r="R5" s="177"/>
      <c r="S5" s="177"/>
      <c r="T5" s="177"/>
    </row>
    <row r="6" spans="2:21" ht="16.5" thickBot="1">
      <c r="B6" s="16" t="s">
        <v>14</v>
      </c>
      <c r="C6" s="17"/>
      <c r="D6" s="17"/>
      <c r="E6" s="18"/>
      <c r="F6" s="18"/>
      <c r="G6" s="666"/>
      <c r="H6" s="666"/>
      <c r="I6" s="666"/>
      <c r="J6" s="667"/>
      <c r="M6" s="19"/>
      <c r="N6" s="20"/>
      <c r="O6" s="285"/>
      <c r="P6" s="285"/>
      <c r="Q6" s="285"/>
      <c r="R6" s="285"/>
      <c r="S6" s="285"/>
    </row>
    <row r="7" spans="2:21" ht="16.5" thickBot="1">
      <c r="B7" s="19"/>
      <c r="C7" s="20"/>
      <c r="D7" s="20"/>
      <c r="E7" s="21"/>
      <c r="F7" s="21"/>
      <c r="G7" s="21"/>
      <c r="H7" s="21"/>
      <c r="I7" s="21"/>
      <c r="J7" s="21"/>
      <c r="M7" s="286"/>
      <c r="N7" s="287" t="s">
        <v>16</v>
      </c>
      <c r="O7" s="54">
        <v>2015</v>
      </c>
      <c r="P7" s="55">
        <v>2016</v>
      </c>
      <c r="Q7" s="55">
        <v>2017</v>
      </c>
      <c r="R7" s="55">
        <v>2018</v>
      </c>
      <c r="S7" s="55">
        <v>2019</v>
      </c>
      <c r="T7" s="56">
        <v>2020</v>
      </c>
    </row>
    <row r="8" spans="2:21" ht="17.25" thickTop="1" thickBot="1">
      <c r="B8" s="657" t="s">
        <v>15</v>
      </c>
      <c r="C8" s="658"/>
      <c r="D8" s="22" t="s">
        <v>16</v>
      </c>
      <c r="E8" s="22">
        <v>2019</v>
      </c>
      <c r="F8" s="22">
        <v>2020</v>
      </c>
      <c r="G8" s="22">
        <v>2021</v>
      </c>
      <c r="H8" s="22">
        <v>2022</v>
      </c>
      <c r="I8" s="22">
        <v>2023</v>
      </c>
      <c r="J8" s="22">
        <v>2024</v>
      </c>
      <c r="M8" s="288" t="s">
        <v>462</v>
      </c>
      <c r="N8" s="289" t="s">
        <v>463</v>
      </c>
      <c r="O8" s="290">
        <v>1362</v>
      </c>
      <c r="P8" s="291">
        <v>1382</v>
      </c>
      <c r="Q8" s="292">
        <v>1405</v>
      </c>
      <c r="R8" s="292">
        <v>1525</v>
      </c>
      <c r="S8" s="291">
        <v>1510</v>
      </c>
      <c r="T8" s="293">
        <f t="shared" ref="T8" si="0">SUM(T9,T13,T14,T15,T16,)</f>
        <v>1406</v>
      </c>
      <c r="U8" s="26">
        <f>AVERAGE(R8:T8)</f>
        <v>1480.3333333333333</v>
      </c>
    </row>
    <row r="9" spans="2:21">
      <c r="B9" s="23"/>
      <c r="C9" s="23"/>
      <c r="D9" s="23"/>
      <c r="E9" s="24"/>
      <c r="F9" s="24"/>
      <c r="G9" s="24"/>
      <c r="H9" s="23"/>
      <c r="I9" s="23"/>
      <c r="J9" s="23"/>
      <c r="M9" s="294" t="s">
        <v>464</v>
      </c>
      <c r="N9" s="295" t="s">
        <v>463</v>
      </c>
      <c r="O9" s="296">
        <f>SUM(O10:O12)</f>
        <v>844</v>
      </c>
      <c r="P9" s="60">
        <f t="shared" ref="P9:T9" si="1">SUM(P10:P12)</f>
        <v>856</v>
      </c>
      <c r="Q9" s="60">
        <f t="shared" si="1"/>
        <v>873</v>
      </c>
      <c r="R9" s="60">
        <f t="shared" si="1"/>
        <v>966</v>
      </c>
      <c r="S9" s="60">
        <f t="shared" si="1"/>
        <v>954</v>
      </c>
      <c r="T9" s="297">
        <f t="shared" si="1"/>
        <v>891</v>
      </c>
      <c r="U9" s="26">
        <f t="shared" ref="U9:U13" si="2">AVERAGE(R9:T9)</f>
        <v>937</v>
      </c>
    </row>
    <row r="10" spans="2:21" ht="21" customHeight="1">
      <c r="B10" s="488" t="s">
        <v>640</v>
      </c>
      <c r="C10" s="489"/>
      <c r="D10" s="490" t="s">
        <v>17</v>
      </c>
      <c r="E10" s="491">
        <f>E11+E35+E50+E52+E71+E73+E82+E85+E88</f>
        <v>452246726.25000006</v>
      </c>
      <c r="F10" s="491">
        <f t="shared" ref="F10:I10" si="3">F11+F35+F50+F52+F71+F73+F82+F85+F88</f>
        <v>479707926.83999997</v>
      </c>
      <c r="G10" s="491">
        <f t="shared" si="3"/>
        <v>517011040.00999993</v>
      </c>
      <c r="H10" s="491">
        <f t="shared" si="3"/>
        <v>563080691.67000008</v>
      </c>
      <c r="I10" s="491">
        <f t="shared" si="3"/>
        <v>672866376.56000018</v>
      </c>
      <c r="J10" s="491">
        <f>J11+J35+J50+J52+J71+J73+J82+J85+J88</f>
        <v>706509695.38800013</v>
      </c>
      <c r="M10" s="298" t="s">
        <v>182</v>
      </c>
      <c r="N10" s="295" t="s">
        <v>463</v>
      </c>
      <c r="O10" s="299">
        <v>84</v>
      </c>
      <c r="P10" s="300">
        <v>88</v>
      </c>
      <c r="Q10" s="301">
        <v>88</v>
      </c>
      <c r="R10" s="300">
        <v>84</v>
      </c>
      <c r="S10" s="301">
        <v>82</v>
      </c>
      <c r="T10" s="302">
        <v>73</v>
      </c>
      <c r="U10" s="303">
        <f t="shared" si="2"/>
        <v>79.666666666666671</v>
      </c>
    </row>
    <row r="11" spans="2:21" s="25" customFormat="1">
      <c r="B11" s="496" t="s">
        <v>18</v>
      </c>
      <c r="C11" s="497" t="s">
        <v>1</v>
      </c>
      <c r="D11" s="497"/>
      <c r="E11" s="498">
        <f>E12+E18+E25+E31</f>
        <v>93959697.830000013</v>
      </c>
      <c r="F11" s="498">
        <f t="shared" ref="F11:I11" si="4">F12+F18+F25+F31</f>
        <v>88306764.689999998</v>
      </c>
      <c r="G11" s="498">
        <f t="shared" si="4"/>
        <v>89286541.799999997</v>
      </c>
      <c r="H11" s="498">
        <f t="shared" si="4"/>
        <v>98774471.960000008</v>
      </c>
      <c r="I11" s="498">
        <f t="shared" si="4"/>
        <v>103775876.65000001</v>
      </c>
      <c r="J11" s="498">
        <f>J12+J18+J25+J31</f>
        <v>108964670.48249999</v>
      </c>
      <c r="K11"/>
      <c r="M11" s="298" t="s">
        <v>191</v>
      </c>
      <c r="N11" s="295" t="s">
        <v>463</v>
      </c>
      <c r="O11" s="304">
        <v>77</v>
      </c>
      <c r="P11" s="305">
        <v>78</v>
      </c>
      <c r="Q11" s="306">
        <v>85</v>
      </c>
      <c r="R11" s="305">
        <v>145</v>
      </c>
      <c r="S11" s="306">
        <v>142</v>
      </c>
      <c r="T11" s="307">
        <v>137</v>
      </c>
      <c r="U11" s="26">
        <f t="shared" si="2"/>
        <v>141.33333333333334</v>
      </c>
    </row>
    <row r="12" spans="2:21" s="25" customFormat="1">
      <c r="B12" s="492"/>
      <c r="C12" s="499" t="s">
        <v>19</v>
      </c>
      <c r="D12" s="499"/>
      <c r="E12" s="500">
        <v>43381983.480000004</v>
      </c>
      <c r="F12" s="500">
        <v>40656932.969999999</v>
      </c>
      <c r="G12" s="500">
        <v>41376612.439999998</v>
      </c>
      <c r="H12" s="500">
        <v>44855728.280000001</v>
      </c>
      <c r="I12" s="500">
        <v>48170927.329999991</v>
      </c>
      <c r="J12" s="500">
        <f>SUM(J13:J17)</f>
        <v>50579473.696499988</v>
      </c>
      <c r="K12"/>
      <c r="M12" s="298" t="s">
        <v>465</v>
      </c>
      <c r="N12" s="295" t="s">
        <v>463</v>
      </c>
      <c r="O12" s="304">
        <v>683</v>
      </c>
      <c r="P12" s="305">
        <v>690</v>
      </c>
      <c r="Q12" s="306">
        <v>700</v>
      </c>
      <c r="R12" s="305">
        <v>737</v>
      </c>
      <c r="S12" s="306">
        <v>730</v>
      </c>
      <c r="T12" s="307">
        <v>681</v>
      </c>
      <c r="U12" s="26">
        <f t="shared" si="2"/>
        <v>716</v>
      </c>
    </row>
    <row r="13" spans="2:21" s="25" customFormat="1">
      <c r="B13" s="492"/>
      <c r="C13" s="483">
        <v>411101</v>
      </c>
      <c r="D13" s="483" t="s">
        <v>554</v>
      </c>
      <c r="E13" s="485">
        <v>34194532.379999995</v>
      </c>
      <c r="F13" s="485">
        <v>31641323.900000002</v>
      </c>
      <c r="G13" s="485">
        <v>32683271.939999994</v>
      </c>
      <c r="H13" s="485">
        <v>36156750.670000002</v>
      </c>
      <c r="I13" s="485">
        <v>37940548.699999996</v>
      </c>
      <c r="J13" s="485">
        <f>I13*1.05</f>
        <v>39837576.134999998</v>
      </c>
      <c r="K13"/>
      <c r="M13" s="294" t="s">
        <v>466</v>
      </c>
      <c r="N13" s="295" t="s">
        <v>463</v>
      </c>
      <c r="O13" s="304">
        <v>518</v>
      </c>
      <c r="P13" s="305">
        <v>526</v>
      </c>
      <c r="Q13" s="306">
        <v>532</v>
      </c>
      <c r="R13" s="305">
        <v>559</v>
      </c>
      <c r="S13" s="306">
        <v>556</v>
      </c>
      <c r="T13" s="307">
        <v>515</v>
      </c>
      <c r="U13" s="303">
        <f t="shared" si="2"/>
        <v>543.33333333333337</v>
      </c>
    </row>
    <row r="14" spans="2:21" s="25" customFormat="1">
      <c r="B14" s="492"/>
      <c r="C14" s="483">
        <v>411102</v>
      </c>
      <c r="D14" s="483" t="s">
        <v>555</v>
      </c>
      <c r="E14" s="485">
        <v>4896948.92</v>
      </c>
      <c r="F14" s="485">
        <v>3916294.2700000005</v>
      </c>
      <c r="G14" s="485">
        <v>3401470.4700000007</v>
      </c>
      <c r="H14" s="485">
        <v>3479828.1699999985</v>
      </c>
      <c r="I14" s="485">
        <v>3528347.17</v>
      </c>
      <c r="J14" s="485">
        <f t="shared" ref="J14:J17" si="5">I14*1.05</f>
        <v>3704764.5285</v>
      </c>
      <c r="K14"/>
      <c r="M14" s="294" t="s">
        <v>467</v>
      </c>
      <c r="N14" s="295" t="s">
        <v>463</v>
      </c>
      <c r="O14" s="308" t="s">
        <v>0</v>
      </c>
      <c r="P14" s="309" t="s">
        <v>0</v>
      </c>
      <c r="Q14" s="310" t="s">
        <v>0</v>
      </c>
      <c r="R14" s="309" t="s">
        <v>0</v>
      </c>
      <c r="S14" s="310" t="s">
        <v>0</v>
      </c>
      <c r="T14" s="311" t="s">
        <v>0</v>
      </c>
      <c r="U14" s="26"/>
    </row>
    <row r="15" spans="2:21" s="25" customFormat="1">
      <c r="B15" s="492"/>
      <c r="C15" s="483">
        <v>411103</v>
      </c>
      <c r="D15" s="483" t="s">
        <v>556</v>
      </c>
      <c r="E15" s="485">
        <v>437442.70000000013</v>
      </c>
      <c r="F15" s="485">
        <v>507065.45</v>
      </c>
      <c r="G15" s="485">
        <v>679919.15</v>
      </c>
      <c r="H15" s="485">
        <v>727002.32</v>
      </c>
      <c r="I15" s="485">
        <v>792233.01</v>
      </c>
      <c r="J15" s="485">
        <f t="shared" si="5"/>
        <v>831844.6605</v>
      </c>
      <c r="K15"/>
      <c r="M15" s="294" t="s">
        <v>468</v>
      </c>
      <c r="N15" s="295" t="s">
        <v>463</v>
      </c>
      <c r="O15" s="312" t="s">
        <v>0</v>
      </c>
      <c r="P15" s="313" t="s">
        <v>0</v>
      </c>
      <c r="Q15" s="313" t="s">
        <v>0</v>
      </c>
      <c r="R15" s="313" t="s">
        <v>0</v>
      </c>
      <c r="S15" s="313" t="s">
        <v>0</v>
      </c>
      <c r="T15" s="314" t="s">
        <v>0</v>
      </c>
      <c r="U15" s="26"/>
    </row>
    <row r="16" spans="2:21" s="25" customFormat="1" ht="15.75" thickBot="1">
      <c r="B16" s="492"/>
      <c r="C16" s="483">
        <v>411105</v>
      </c>
      <c r="D16" s="483" t="s">
        <v>557</v>
      </c>
      <c r="E16" s="485">
        <v>2468514.0999999996</v>
      </c>
      <c r="F16" s="485">
        <v>2530804.23</v>
      </c>
      <c r="G16" s="485">
        <v>2584974.2000000007</v>
      </c>
      <c r="H16" s="485">
        <v>2945127.5800000005</v>
      </c>
      <c r="I16" s="485">
        <v>3152102.4400000004</v>
      </c>
      <c r="J16" s="485">
        <f t="shared" si="5"/>
        <v>3309707.5620000004</v>
      </c>
      <c r="K16"/>
      <c r="M16" s="315" t="s">
        <v>469</v>
      </c>
      <c r="N16" s="316" t="s">
        <v>463</v>
      </c>
      <c r="O16" s="317" t="s">
        <v>0</v>
      </c>
      <c r="P16" s="64" t="s">
        <v>0</v>
      </c>
      <c r="Q16" s="64" t="s">
        <v>0</v>
      </c>
      <c r="R16" s="64" t="s">
        <v>0</v>
      </c>
      <c r="S16" s="64" t="s">
        <v>0</v>
      </c>
      <c r="T16" s="318" t="s">
        <v>0</v>
      </c>
      <c r="U16" s="26"/>
    </row>
    <row r="17" spans="2:11" s="25" customFormat="1">
      <c r="B17" s="492"/>
      <c r="C17" s="483">
        <v>411106</v>
      </c>
      <c r="D17" s="483" t="s">
        <v>558</v>
      </c>
      <c r="E17" s="485">
        <v>1384545.3799999997</v>
      </c>
      <c r="F17" s="485">
        <v>2061445.1199999999</v>
      </c>
      <c r="G17" s="485">
        <v>2026976.68</v>
      </c>
      <c r="H17" s="485">
        <v>1547019.5400000003</v>
      </c>
      <c r="I17" s="485">
        <v>2757696.01</v>
      </c>
      <c r="J17" s="485">
        <f t="shared" si="5"/>
        <v>2895580.8104999997</v>
      </c>
      <c r="K17"/>
    </row>
    <row r="18" spans="2:11" s="25" customFormat="1">
      <c r="B18" s="492"/>
      <c r="C18" s="499" t="s">
        <v>20</v>
      </c>
      <c r="D18" s="499"/>
      <c r="E18" s="500">
        <v>18815255.900000002</v>
      </c>
      <c r="F18" s="500">
        <v>16645246.100000003</v>
      </c>
      <c r="G18" s="500">
        <v>17152568.869999997</v>
      </c>
      <c r="H18" s="500">
        <v>18839002.000000007</v>
      </c>
      <c r="I18" s="500">
        <v>19980311.420000002</v>
      </c>
      <c r="J18" s="500">
        <f>SUM(J19:J24)</f>
        <v>20979326.991</v>
      </c>
      <c r="K18"/>
    </row>
    <row r="19" spans="2:11" s="25" customFormat="1">
      <c r="B19" s="492"/>
      <c r="C19" s="483">
        <v>411151</v>
      </c>
      <c r="D19" s="483" t="s">
        <v>559</v>
      </c>
      <c r="E19" s="485">
        <v>14815308.66</v>
      </c>
      <c r="F19" s="485">
        <v>12176525.67</v>
      </c>
      <c r="G19" s="485">
        <v>12321687.769999998</v>
      </c>
      <c r="H19" s="485">
        <v>13576370.000000006</v>
      </c>
      <c r="I19" s="485">
        <v>14665196.57</v>
      </c>
      <c r="J19" s="485">
        <f t="shared" ref="J19:J24" si="6">I19*1.05</f>
        <v>15398456.398500001</v>
      </c>
      <c r="K19"/>
    </row>
    <row r="20" spans="2:11" s="25" customFormat="1">
      <c r="B20" s="492"/>
      <c r="C20" s="483">
        <v>411153</v>
      </c>
      <c r="D20" s="483" t="s">
        <v>560</v>
      </c>
      <c r="E20" s="485">
        <v>3999947.2400000012</v>
      </c>
      <c r="F20" s="485">
        <v>3400115.3200000012</v>
      </c>
      <c r="G20" s="485">
        <v>3405245.1699999995</v>
      </c>
      <c r="H20" s="485">
        <v>3768282.4999999995</v>
      </c>
      <c r="I20" s="485">
        <v>3909620.8400000003</v>
      </c>
      <c r="J20" s="485">
        <f t="shared" si="6"/>
        <v>4105101.8820000007</v>
      </c>
      <c r="K20"/>
    </row>
    <row r="21" spans="2:11" s="25" customFormat="1">
      <c r="B21" s="492"/>
      <c r="C21" s="483">
        <v>411161</v>
      </c>
      <c r="D21" s="483" t="s">
        <v>561</v>
      </c>
      <c r="E21" s="485">
        <v>0</v>
      </c>
      <c r="F21" s="485">
        <v>-62918.030000000006</v>
      </c>
      <c r="G21" s="485">
        <v>173273.58999999997</v>
      </c>
      <c r="H21" s="485">
        <v>142198.59999999998</v>
      </c>
      <c r="I21" s="485">
        <v>-23948.530000000017</v>
      </c>
      <c r="J21" s="485">
        <f t="shared" si="6"/>
        <v>-25145.956500000018</v>
      </c>
      <c r="K21"/>
    </row>
    <row r="22" spans="2:11" s="25" customFormat="1">
      <c r="B22" s="492"/>
      <c r="C22" s="483">
        <v>411162</v>
      </c>
      <c r="D22" s="483" t="s">
        <v>562</v>
      </c>
      <c r="E22" s="485">
        <v>0</v>
      </c>
      <c r="F22" s="485">
        <v>-124601.50000000001</v>
      </c>
      <c r="G22" s="485">
        <v>-16828.089999999993</v>
      </c>
      <c r="H22" s="485">
        <v>-24688.969999999994</v>
      </c>
      <c r="I22" s="485">
        <v>-10459.899999999998</v>
      </c>
      <c r="J22" s="485">
        <f t="shared" si="6"/>
        <v>-10982.894999999999</v>
      </c>
      <c r="K22"/>
    </row>
    <row r="23" spans="2:11" s="25" customFormat="1">
      <c r="B23" s="492"/>
      <c r="C23" s="483">
        <v>411163</v>
      </c>
      <c r="D23" s="483" t="s">
        <v>563</v>
      </c>
      <c r="E23" s="485">
        <v>0</v>
      </c>
      <c r="F23" s="485">
        <v>983182.34</v>
      </c>
      <c r="G23" s="485">
        <v>975996.49000000011</v>
      </c>
      <c r="H23" s="485">
        <v>1060166.6000000003</v>
      </c>
      <c r="I23" s="485">
        <v>1134901.28</v>
      </c>
      <c r="J23" s="485">
        <f t="shared" si="6"/>
        <v>1191646.344</v>
      </c>
      <c r="K23"/>
    </row>
    <row r="24" spans="2:11" s="25" customFormat="1">
      <c r="B24" s="492"/>
      <c r="C24" s="483">
        <v>411164</v>
      </c>
      <c r="D24" s="483" t="s">
        <v>564</v>
      </c>
      <c r="E24" s="485">
        <v>0</v>
      </c>
      <c r="F24" s="485">
        <v>272942.30000000005</v>
      </c>
      <c r="G24" s="485">
        <v>293193.94000000012</v>
      </c>
      <c r="H24" s="485">
        <v>316673.2699999999</v>
      </c>
      <c r="I24" s="485">
        <v>305001.16000000003</v>
      </c>
      <c r="J24" s="485">
        <f t="shared" si="6"/>
        <v>320251.21800000005</v>
      </c>
      <c r="K24"/>
    </row>
    <row r="25" spans="2:11" s="25" customFormat="1">
      <c r="B25" s="492"/>
      <c r="C25" s="499" t="s">
        <v>21</v>
      </c>
      <c r="D25" s="499"/>
      <c r="E25" s="500">
        <v>22847195.829999998</v>
      </c>
      <c r="F25" s="500">
        <v>22898645.369999997</v>
      </c>
      <c r="G25" s="500">
        <v>22198155.07</v>
      </c>
      <c r="H25" s="500">
        <v>25443173.34</v>
      </c>
      <c r="I25" s="500">
        <v>26807642.249999996</v>
      </c>
      <c r="J25" s="500">
        <f>SUM(J26:J30)</f>
        <v>28148024.362499997</v>
      </c>
      <c r="K25"/>
    </row>
    <row r="26" spans="2:11" s="25" customFormat="1">
      <c r="B26" s="493"/>
      <c r="C26" s="483">
        <v>411156</v>
      </c>
      <c r="D26" s="483" t="s">
        <v>565</v>
      </c>
      <c r="E26" s="486">
        <v>7386694.5499999989</v>
      </c>
      <c r="F26" s="486">
        <v>7429444.54</v>
      </c>
      <c r="G26" s="486">
        <v>7079002.7200000016</v>
      </c>
      <c r="H26" s="486">
        <v>8537955.3699999973</v>
      </c>
      <c r="I26" s="486">
        <v>8875449.5399999991</v>
      </c>
      <c r="J26" s="485">
        <f t="shared" ref="J26:J30" si="7">I26*1.05</f>
        <v>9319222.0169999991</v>
      </c>
      <c r="K26"/>
    </row>
    <row r="27" spans="2:11" s="25" customFormat="1">
      <c r="B27" s="492"/>
      <c r="C27" s="483">
        <v>411157</v>
      </c>
      <c r="D27" s="483" t="s">
        <v>566</v>
      </c>
      <c r="E27" s="486">
        <v>15220889.140000001</v>
      </c>
      <c r="F27" s="486">
        <v>15269515.899999999</v>
      </c>
      <c r="G27" s="486">
        <v>14870276.35</v>
      </c>
      <c r="H27" s="486">
        <v>16667674.389999999</v>
      </c>
      <c r="I27" s="486">
        <v>17738369.789999999</v>
      </c>
      <c r="J27" s="485">
        <f t="shared" si="7"/>
        <v>18625288.2795</v>
      </c>
      <c r="K27"/>
    </row>
    <row r="28" spans="2:11" s="25" customFormat="1">
      <c r="B28" s="492"/>
      <c r="C28" s="483">
        <v>411158</v>
      </c>
      <c r="D28" s="483" t="s">
        <v>567</v>
      </c>
      <c r="E28" s="486">
        <v>67905.63</v>
      </c>
      <c r="F28" s="486">
        <v>58893.320000000007</v>
      </c>
      <c r="G28" s="486">
        <v>106578.68999999999</v>
      </c>
      <c r="H28" s="486">
        <v>101557.78000000001</v>
      </c>
      <c r="I28" s="486">
        <v>94525.500000000015</v>
      </c>
      <c r="J28" s="485">
        <f t="shared" si="7"/>
        <v>99251.775000000023</v>
      </c>
      <c r="K28"/>
    </row>
    <row r="29" spans="2:11" s="25" customFormat="1">
      <c r="B29" s="492"/>
      <c r="C29" s="483">
        <v>411160</v>
      </c>
      <c r="D29" s="483" t="s">
        <v>568</v>
      </c>
      <c r="E29" s="486">
        <v>128844.09</v>
      </c>
      <c r="F29" s="486">
        <v>125614.40999999997</v>
      </c>
      <c r="G29" s="486">
        <v>114625.88000000002</v>
      </c>
      <c r="H29" s="486">
        <v>100177.17000000003</v>
      </c>
      <c r="I29" s="486">
        <v>71488.680000000008</v>
      </c>
      <c r="J29" s="485">
        <f t="shared" si="7"/>
        <v>75063.114000000016</v>
      </c>
      <c r="K29"/>
    </row>
    <row r="30" spans="2:11" s="25" customFormat="1">
      <c r="B30" s="492"/>
      <c r="C30" s="483">
        <v>411114</v>
      </c>
      <c r="D30" s="483" t="s">
        <v>569</v>
      </c>
      <c r="E30" s="486">
        <v>42862.42</v>
      </c>
      <c r="F30" s="486">
        <v>15177.199999999999</v>
      </c>
      <c r="G30" s="486">
        <v>27671.43</v>
      </c>
      <c r="H30" s="486">
        <v>35808.630000000005</v>
      </c>
      <c r="I30" s="486">
        <v>27808.739999999998</v>
      </c>
      <c r="J30" s="485">
        <f t="shared" si="7"/>
        <v>29199.177</v>
      </c>
      <c r="K30"/>
    </row>
    <row r="31" spans="2:11" s="25" customFormat="1">
      <c r="B31" s="492"/>
      <c r="C31" s="499" t="s">
        <v>22</v>
      </c>
      <c r="D31" s="499"/>
      <c r="E31" s="500">
        <v>8915262.620000001</v>
      </c>
      <c r="F31" s="500">
        <v>8105940.25</v>
      </c>
      <c r="G31" s="500">
        <v>8559205.4199999981</v>
      </c>
      <c r="H31" s="500">
        <v>9636568.3399999999</v>
      </c>
      <c r="I31" s="500">
        <v>8816995.6499999985</v>
      </c>
      <c r="J31" s="500">
        <f>J32+J33+J34</f>
        <v>9257845.4324999992</v>
      </c>
      <c r="K31"/>
    </row>
    <row r="32" spans="2:11" s="25" customFormat="1">
      <c r="B32" s="492"/>
      <c r="C32" s="483">
        <v>411108</v>
      </c>
      <c r="D32" s="483" t="s">
        <v>570</v>
      </c>
      <c r="E32" s="486">
        <v>4826062.0200000005</v>
      </c>
      <c r="F32" s="486">
        <v>4395037.43</v>
      </c>
      <c r="G32" s="486">
        <v>4736293.1599999992</v>
      </c>
      <c r="H32" s="486">
        <v>5335549.33</v>
      </c>
      <c r="I32" s="486">
        <v>4674684.2899999991</v>
      </c>
      <c r="J32" s="485">
        <f t="shared" ref="J32:J34" si="8">I32*1.05</f>
        <v>4908418.5044999989</v>
      </c>
      <c r="K32"/>
    </row>
    <row r="33" spans="2:11" s="25" customFormat="1">
      <c r="B33" s="492"/>
      <c r="C33" s="483">
        <v>411109</v>
      </c>
      <c r="D33" s="483" t="s">
        <v>571</v>
      </c>
      <c r="E33" s="486">
        <v>353676.5199999999</v>
      </c>
      <c r="F33" s="486">
        <v>301261.3600000001</v>
      </c>
      <c r="G33" s="486">
        <v>351931.71</v>
      </c>
      <c r="H33" s="486">
        <v>376567.77</v>
      </c>
      <c r="I33" s="486">
        <v>355072.84999999992</v>
      </c>
      <c r="J33" s="485">
        <f t="shared" si="8"/>
        <v>372826.49249999993</v>
      </c>
      <c r="K33"/>
    </row>
    <row r="34" spans="2:11" s="25" customFormat="1">
      <c r="B34" s="492"/>
      <c r="C34" s="483">
        <v>411110</v>
      </c>
      <c r="D34" s="484" t="s">
        <v>572</v>
      </c>
      <c r="E34" s="486">
        <v>3735524.08</v>
      </c>
      <c r="F34" s="486">
        <v>3409641.4600000004</v>
      </c>
      <c r="G34" s="486">
        <v>3470980.55</v>
      </c>
      <c r="H34" s="486">
        <v>3924451.2400000012</v>
      </c>
      <c r="I34" s="486">
        <v>3787238.5100000002</v>
      </c>
      <c r="J34" s="485">
        <f t="shared" si="8"/>
        <v>3976600.4355000006</v>
      </c>
      <c r="K34"/>
    </row>
    <row r="35" spans="2:11" s="25" customFormat="1">
      <c r="B35" s="496" t="s">
        <v>23</v>
      </c>
      <c r="C35" s="497" t="s">
        <v>573</v>
      </c>
      <c r="D35" s="497"/>
      <c r="E35" s="498">
        <v>10279159.360000003</v>
      </c>
      <c r="F35" s="498">
        <v>10326620.009999998</v>
      </c>
      <c r="G35" s="498">
        <v>11775960.849999998</v>
      </c>
      <c r="H35" s="498">
        <v>14642901.040000001</v>
      </c>
      <c r="I35" s="498">
        <v>19889711.740000002</v>
      </c>
      <c r="J35" s="498">
        <f>SUM(J36:J49)</f>
        <v>20884197.326999992</v>
      </c>
      <c r="K35"/>
    </row>
    <row r="36" spans="2:11" s="25" customFormat="1">
      <c r="B36" s="492"/>
      <c r="C36" s="483">
        <v>412201</v>
      </c>
      <c r="D36" s="484" t="s">
        <v>574</v>
      </c>
      <c r="E36" s="486">
        <v>62449.659999999996</v>
      </c>
      <c r="F36" s="486">
        <v>45679.369999999995</v>
      </c>
      <c r="G36" s="486">
        <v>54444.66</v>
      </c>
      <c r="H36" s="486">
        <v>73219.44</v>
      </c>
      <c r="I36" s="486">
        <v>69835.249999999971</v>
      </c>
      <c r="J36" s="485">
        <f t="shared" ref="J36:J49" si="9">I36*1.05</f>
        <v>73327.012499999968</v>
      </c>
      <c r="K36"/>
    </row>
    <row r="37" spans="2:11" s="25" customFormat="1">
      <c r="B37" s="492"/>
      <c r="C37" s="483">
        <v>412202</v>
      </c>
      <c r="D37" s="484" t="s">
        <v>575</v>
      </c>
      <c r="E37" s="486">
        <v>8571998.9500000011</v>
      </c>
      <c r="F37" s="486">
        <v>8255708.4899999993</v>
      </c>
      <c r="G37" s="486">
        <v>9628951.0499999989</v>
      </c>
      <c r="H37" s="486">
        <v>12297155.5</v>
      </c>
      <c r="I37" s="486">
        <v>17081238.52</v>
      </c>
      <c r="J37" s="485">
        <f t="shared" si="9"/>
        <v>17935300.445999999</v>
      </c>
      <c r="K37"/>
    </row>
    <row r="38" spans="2:11" s="25" customFormat="1">
      <c r="B38" s="492"/>
      <c r="C38" s="483">
        <v>412203</v>
      </c>
      <c r="D38" s="484" t="s">
        <v>576</v>
      </c>
      <c r="E38" s="486">
        <v>133238.38</v>
      </c>
      <c r="F38" s="486">
        <v>147289.01</v>
      </c>
      <c r="G38" s="486">
        <v>149444.08000000005</v>
      </c>
      <c r="H38" s="486">
        <v>135680.1</v>
      </c>
      <c r="I38" s="486">
        <v>292332.11</v>
      </c>
      <c r="J38" s="485">
        <f t="shared" si="9"/>
        <v>306948.71549999999</v>
      </c>
      <c r="K38"/>
    </row>
    <row r="39" spans="2:11" s="25" customFormat="1">
      <c r="B39" s="492"/>
      <c r="C39" s="483">
        <v>412204</v>
      </c>
      <c r="D39" s="484" t="s">
        <v>577</v>
      </c>
      <c r="E39" s="486">
        <v>75864.810000000027</v>
      </c>
      <c r="F39" s="486">
        <v>49100.589999999989</v>
      </c>
      <c r="G39" s="486">
        <v>49196.76</v>
      </c>
      <c r="H39" s="486">
        <v>62557.410000000018</v>
      </c>
      <c r="I39" s="486">
        <v>64456.919999999984</v>
      </c>
      <c r="J39" s="485">
        <f t="shared" si="9"/>
        <v>67679.765999999989</v>
      </c>
      <c r="K39"/>
    </row>
    <row r="40" spans="2:11">
      <c r="B40" s="492"/>
      <c r="C40" s="483">
        <v>412205</v>
      </c>
      <c r="D40" s="484" t="s">
        <v>578</v>
      </c>
      <c r="E40" s="486">
        <v>0</v>
      </c>
      <c r="F40" s="486">
        <v>398.74</v>
      </c>
      <c r="G40" s="486">
        <v>103.60000000000001</v>
      </c>
      <c r="H40" s="486">
        <v>16152.240000000002</v>
      </c>
      <c r="I40" s="486">
        <v>13712.230000000001</v>
      </c>
      <c r="J40" s="485">
        <f t="shared" si="9"/>
        <v>14397.841500000002</v>
      </c>
    </row>
    <row r="41" spans="2:11">
      <c r="B41" s="492"/>
      <c r="C41" s="483">
        <v>412206</v>
      </c>
      <c r="D41" s="484" t="s">
        <v>579</v>
      </c>
      <c r="E41" s="486">
        <v>480037.8</v>
      </c>
      <c r="F41" s="486">
        <v>582828.01</v>
      </c>
      <c r="G41" s="486">
        <v>829752.45999999985</v>
      </c>
      <c r="H41" s="487">
        <v>503606.59999999992</v>
      </c>
      <c r="I41" s="486">
        <v>349242.54</v>
      </c>
      <c r="J41" s="485">
        <f t="shared" si="9"/>
        <v>366704.66700000002</v>
      </c>
    </row>
    <row r="42" spans="2:11">
      <c r="B42" s="493"/>
      <c r="C42" s="483">
        <v>412208</v>
      </c>
      <c r="D42" s="484" t="s">
        <v>580</v>
      </c>
      <c r="E42" s="487">
        <v>86467.189999999973</v>
      </c>
      <c r="F42" s="487">
        <v>117723.60999999999</v>
      </c>
      <c r="G42" s="487">
        <v>140842.43999999997</v>
      </c>
      <c r="H42" s="487">
        <v>178440.89</v>
      </c>
      <c r="I42" s="487">
        <v>302675.32</v>
      </c>
      <c r="J42" s="485">
        <f t="shared" si="9"/>
        <v>317809.08600000001</v>
      </c>
    </row>
    <row r="43" spans="2:11">
      <c r="B43" s="492"/>
      <c r="C43" s="483">
        <v>412209</v>
      </c>
      <c r="D43" s="484" t="s">
        <v>581</v>
      </c>
      <c r="E43" s="486">
        <v>7829</v>
      </c>
      <c r="F43" s="486">
        <v>27887.950000000004</v>
      </c>
      <c r="G43" s="486">
        <v>23634.61</v>
      </c>
      <c r="H43" s="486">
        <v>37881.480000000003</v>
      </c>
      <c r="I43" s="486">
        <v>32220.020000000004</v>
      </c>
      <c r="J43" s="485">
        <f t="shared" si="9"/>
        <v>33831.021000000008</v>
      </c>
      <c r="K43" s="26"/>
    </row>
    <row r="44" spans="2:11">
      <c r="B44" s="492"/>
      <c r="C44" s="483">
        <v>412210</v>
      </c>
      <c r="D44" s="484" t="s">
        <v>582</v>
      </c>
      <c r="E44" s="486">
        <v>303515.96000000002</v>
      </c>
      <c r="F44" s="486">
        <v>258362.95000000013</v>
      </c>
      <c r="G44" s="486">
        <v>392834.62</v>
      </c>
      <c r="H44" s="486">
        <v>488937.15000000014</v>
      </c>
      <c r="I44" s="486">
        <v>446437.79</v>
      </c>
      <c r="J44" s="485">
        <f t="shared" si="9"/>
        <v>468759.67949999997</v>
      </c>
      <c r="K44" s="26"/>
    </row>
    <row r="45" spans="2:11">
      <c r="B45" s="492"/>
      <c r="C45" s="483">
        <v>412211</v>
      </c>
      <c r="D45" s="484" t="s">
        <v>583</v>
      </c>
      <c r="E45" s="486">
        <v>0</v>
      </c>
      <c r="F45" s="486">
        <v>719.80000000000007</v>
      </c>
      <c r="G45" s="486">
        <v>937</v>
      </c>
      <c r="H45" s="486">
        <v>431</v>
      </c>
      <c r="I45" s="486">
        <v>1357.4</v>
      </c>
      <c r="J45" s="485">
        <f t="shared" si="9"/>
        <v>1425.2700000000002</v>
      </c>
      <c r="K45" s="26"/>
    </row>
    <row r="46" spans="2:11">
      <c r="B46" s="492"/>
      <c r="C46" s="483">
        <v>412212</v>
      </c>
      <c r="D46" s="494" t="s">
        <v>584</v>
      </c>
      <c r="E46" s="486">
        <v>38081.569999999992</v>
      </c>
      <c r="F46" s="486">
        <v>25167.699999999997</v>
      </c>
      <c r="G46" s="486">
        <v>24337.989999999998</v>
      </c>
      <c r="H46" s="486">
        <v>40534.020000000011</v>
      </c>
      <c r="I46" s="486">
        <v>60143.870000000017</v>
      </c>
      <c r="J46" s="485">
        <f t="shared" si="9"/>
        <v>63151.063500000018</v>
      </c>
      <c r="K46" s="26"/>
    </row>
    <row r="47" spans="2:11">
      <c r="B47" s="492"/>
      <c r="C47" s="483">
        <v>412214</v>
      </c>
      <c r="D47" s="494" t="s">
        <v>585</v>
      </c>
      <c r="E47" s="486">
        <v>505386.42999999993</v>
      </c>
      <c r="F47" s="486">
        <v>785189.89999999991</v>
      </c>
      <c r="G47" s="486">
        <v>474325.5500000001</v>
      </c>
      <c r="H47" s="486">
        <v>792444.98999999976</v>
      </c>
      <c r="I47" s="486">
        <v>1155416.05</v>
      </c>
      <c r="J47" s="485">
        <f t="shared" si="9"/>
        <v>1213186.8525</v>
      </c>
    </row>
    <row r="48" spans="2:11">
      <c r="B48" s="492"/>
      <c r="C48" s="483">
        <v>412216</v>
      </c>
      <c r="D48" s="494" t="s">
        <v>586</v>
      </c>
      <c r="E48" s="486">
        <v>10398.240000000002</v>
      </c>
      <c r="F48" s="486">
        <v>26966.55</v>
      </c>
      <c r="G48" s="486">
        <v>5447.96</v>
      </c>
      <c r="H48" s="486">
        <v>4664.51</v>
      </c>
      <c r="I48" s="486">
        <v>12313.460000000001</v>
      </c>
      <c r="J48" s="485">
        <f t="shared" si="9"/>
        <v>12929.133000000002</v>
      </c>
      <c r="K48" s="26"/>
    </row>
    <row r="49" spans="2:11">
      <c r="B49" s="492"/>
      <c r="C49" s="483">
        <v>412220</v>
      </c>
      <c r="D49" s="494" t="s">
        <v>587</v>
      </c>
      <c r="E49" s="486">
        <v>3891.37</v>
      </c>
      <c r="F49" s="486">
        <v>3597.3399999999997</v>
      </c>
      <c r="G49" s="486">
        <v>1708.0700000000002</v>
      </c>
      <c r="H49" s="486">
        <v>11195.71</v>
      </c>
      <c r="I49" s="486">
        <v>8330.26</v>
      </c>
      <c r="J49" s="485">
        <f t="shared" si="9"/>
        <v>8746.773000000001</v>
      </c>
      <c r="K49" s="26"/>
    </row>
    <row r="50" spans="2:11">
      <c r="B50" s="496" t="s">
        <v>24</v>
      </c>
      <c r="C50" s="497" t="s">
        <v>25</v>
      </c>
      <c r="D50" s="497"/>
      <c r="E50" s="498">
        <v>5449996.1099999985</v>
      </c>
      <c r="F50" s="498">
        <v>6776582.0099999979</v>
      </c>
      <c r="G50" s="498">
        <v>7030368.1999999983</v>
      </c>
      <c r="H50" s="498">
        <v>11611225.839999998</v>
      </c>
      <c r="I50" s="498">
        <v>15544705.790000005</v>
      </c>
      <c r="J50" s="498">
        <f>J51</f>
        <v>16321941.079500007</v>
      </c>
      <c r="K50" s="26"/>
    </row>
    <row r="51" spans="2:11">
      <c r="B51" s="492"/>
      <c r="C51" s="483">
        <v>412207</v>
      </c>
      <c r="D51" s="494" t="s">
        <v>25</v>
      </c>
      <c r="E51" s="486">
        <v>5449996.1099999985</v>
      </c>
      <c r="F51" s="486">
        <v>6776582.0099999979</v>
      </c>
      <c r="G51" s="486">
        <v>7030368.1999999983</v>
      </c>
      <c r="H51" s="486">
        <v>11611225.839999998</v>
      </c>
      <c r="I51" s="486">
        <v>15544705.790000005</v>
      </c>
      <c r="J51" s="485">
        <f>I51*1.05</f>
        <v>16321941.079500007</v>
      </c>
    </row>
    <row r="52" spans="2:11">
      <c r="B52" s="496" t="s">
        <v>26</v>
      </c>
      <c r="C52" s="497" t="s">
        <v>588</v>
      </c>
      <c r="D52" s="497"/>
      <c r="E52" s="498">
        <v>92527587.220000014</v>
      </c>
      <c r="F52" s="498">
        <v>123080801.45</v>
      </c>
      <c r="G52" s="498">
        <v>124351134.64000002</v>
      </c>
      <c r="H52" s="498">
        <v>139578237.13000003</v>
      </c>
      <c r="I52" s="498">
        <v>169626817.75</v>
      </c>
      <c r="J52" s="498">
        <f>J53</f>
        <v>178108158.63750002</v>
      </c>
    </row>
    <row r="53" spans="2:11">
      <c r="B53" s="492"/>
      <c r="C53" s="499" t="s">
        <v>589</v>
      </c>
      <c r="D53" s="499"/>
      <c r="E53" s="500">
        <v>92527587.220000014</v>
      </c>
      <c r="F53" s="500">
        <v>123080801.45</v>
      </c>
      <c r="G53" s="500">
        <v>124351134.64000002</v>
      </c>
      <c r="H53" s="500">
        <v>139578237.13000003</v>
      </c>
      <c r="I53" s="500">
        <v>169626817.75</v>
      </c>
      <c r="J53" s="500">
        <f>SUM(J54:J70)</f>
        <v>178108158.63750002</v>
      </c>
      <c r="K53" s="26"/>
    </row>
    <row r="54" spans="2:11">
      <c r="B54" s="492"/>
      <c r="C54" s="483">
        <v>413301</v>
      </c>
      <c r="D54" s="494" t="s">
        <v>590</v>
      </c>
      <c r="E54" s="486">
        <v>1797057.1</v>
      </c>
      <c r="F54" s="486">
        <v>2143523.5600000005</v>
      </c>
      <c r="G54" s="486">
        <v>613750.79</v>
      </c>
      <c r="H54" s="486">
        <v>1165707.76</v>
      </c>
      <c r="I54" s="486">
        <v>2450289.1600000006</v>
      </c>
      <c r="J54" s="485">
        <f t="shared" ref="J54:J70" si="10">I54*1.05</f>
        <v>2572803.6180000007</v>
      </c>
    </row>
    <row r="55" spans="2:11">
      <c r="B55" s="492"/>
      <c r="C55" s="483">
        <v>413302</v>
      </c>
      <c r="D55" s="494" t="s">
        <v>591</v>
      </c>
      <c r="E55" s="486">
        <v>1668041.54</v>
      </c>
      <c r="F55" s="486">
        <v>880618.93</v>
      </c>
      <c r="G55" s="486">
        <v>649414.19000000006</v>
      </c>
      <c r="H55" s="486">
        <v>715158.78000000014</v>
      </c>
      <c r="I55" s="486">
        <v>1059321.6500000001</v>
      </c>
      <c r="J55" s="485">
        <f t="shared" si="10"/>
        <v>1112287.7325000002</v>
      </c>
      <c r="K55" s="26"/>
    </row>
    <row r="56" spans="2:11">
      <c r="B56" s="492"/>
      <c r="C56" s="483">
        <v>413306</v>
      </c>
      <c r="D56" s="494" t="s">
        <v>592</v>
      </c>
      <c r="E56" s="495">
        <v>18191904.480000012</v>
      </c>
      <c r="F56" s="495">
        <v>18270820.599999994</v>
      </c>
      <c r="G56" s="495">
        <v>21617893.900000002</v>
      </c>
      <c r="H56" s="495">
        <v>23308402.690000005</v>
      </c>
      <c r="I56" s="495">
        <v>25344375.190000005</v>
      </c>
      <c r="J56" s="485">
        <f t="shared" si="10"/>
        <v>26611593.949500006</v>
      </c>
    </row>
    <row r="57" spans="2:11">
      <c r="B57" s="492"/>
      <c r="C57" s="483">
        <v>413308</v>
      </c>
      <c r="D57" s="494" t="s">
        <v>593</v>
      </c>
      <c r="E57" s="486">
        <v>71.400000000000006</v>
      </c>
      <c r="F57" s="486">
        <v>53668.959999999999</v>
      </c>
      <c r="G57" s="486">
        <v>58513.409999999989</v>
      </c>
      <c r="H57" s="486">
        <v>5529.42</v>
      </c>
      <c r="I57" s="486">
        <v>37484.03</v>
      </c>
      <c r="J57" s="485">
        <f t="shared" si="10"/>
        <v>39358.231500000002</v>
      </c>
      <c r="K57" s="26"/>
    </row>
    <row r="58" spans="2:11">
      <c r="B58" s="493"/>
      <c r="C58" s="483">
        <v>413314</v>
      </c>
      <c r="D58" s="494" t="s">
        <v>594</v>
      </c>
      <c r="E58" s="495">
        <v>29030.97</v>
      </c>
      <c r="F58" s="495">
        <v>18444.080000000002</v>
      </c>
      <c r="G58" s="495">
        <v>64542.690000000017</v>
      </c>
      <c r="H58" s="495">
        <v>48372.979999999996</v>
      </c>
      <c r="I58" s="495">
        <v>39950.370000000003</v>
      </c>
      <c r="J58" s="485">
        <f t="shared" si="10"/>
        <v>41947.888500000001</v>
      </c>
    </row>
    <row r="59" spans="2:11">
      <c r="B59" s="492"/>
      <c r="C59" s="483">
        <v>413315</v>
      </c>
      <c r="D59" s="484" t="s">
        <v>595</v>
      </c>
      <c r="E59" s="486">
        <v>12707109.020000005</v>
      </c>
      <c r="F59" s="486">
        <v>12761527.019999998</v>
      </c>
      <c r="G59" s="486">
        <v>16768154.699999999</v>
      </c>
      <c r="H59" s="486">
        <v>19340010.57</v>
      </c>
      <c r="I59" s="486">
        <v>19448680.730000004</v>
      </c>
      <c r="J59" s="485">
        <f t="shared" si="10"/>
        <v>20421114.766500004</v>
      </c>
      <c r="K59" s="26"/>
    </row>
    <row r="60" spans="2:11">
      <c r="B60" s="492"/>
      <c r="C60" s="483">
        <v>413316</v>
      </c>
      <c r="D60" s="484" t="s">
        <v>596</v>
      </c>
      <c r="E60" s="486">
        <v>55935.41</v>
      </c>
      <c r="F60" s="486">
        <v>60495.299999999996</v>
      </c>
      <c r="G60" s="486">
        <v>74422.760000000009</v>
      </c>
      <c r="H60" s="486">
        <v>71496.84</v>
      </c>
      <c r="I60" s="486">
        <v>104897.72000000002</v>
      </c>
      <c r="J60" s="485">
        <f t="shared" si="10"/>
        <v>110142.60600000001</v>
      </c>
      <c r="K60" s="26"/>
    </row>
    <row r="61" spans="2:11">
      <c r="B61" s="492"/>
      <c r="C61" s="483">
        <v>413317</v>
      </c>
      <c r="D61" s="484" t="s">
        <v>597</v>
      </c>
      <c r="E61" s="486">
        <v>354013.88000000018</v>
      </c>
      <c r="F61" s="486">
        <v>23832.3</v>
      </c>
      <c r="G61" s="486">
        <v>27492.15</v>
      </c>
      <c r="H61" s="486">
        <v>45018.03</v>
      </c>
      <c r="I61" s="486">
        <v>47085.87</v>
      </c>
      <c r="J61" s="485">
        <f t="shared" si="10"/>
        <v>49440.163500000002</v>
      </c>
      <c r="K61" s="26"/>
    </row>
    <row r="62" spans="2:11">
      <c r="B62" s="492"/>
      <c r="C62" s="483">
        <v>413321</v>
      </c>
      <c r="D62" s="494" t="s">
        <v>598</v>
      </c>
      <c r="E62" s="486">
        <v>1307012.46</v>
      </c>
      <c r="F62" s="486">
        <v>1315026.7899999993</v>
      </c>
      <c r="G62" s="486">
        <v>1412446.8800000004</v>
      </c>
      <c r="H62" s="486">
        <v>1400619.8300000003</v>
      </c>
      <c r="I62" s="486">
        <v>2108266.3299999996</v>
      </c>
      <c r="J62" s="485">
        <f t="shared" si="10"/>
        <v>2213679.6464999998</v>
      </c>
      <c r="K62" s="26"/>
    </row>
    <row r="63" spans="2:11">
      <c r="B63" s="492"/>
      <c r="C63" s="483">
        <v>413322</v>
      </c>
      <c r="D63" s="494" t="s">
        <v>599</v>
      </c>
      <c r="E63" s="486">
        <v>54024.280000000006</v>
      </c>
      <c r="F63" s="486">
        <v>36652.68</v>
      </c>
      <c r="G63" s="486">
        <v>196933.86000000007</v>
      </c>
      <c r="H63" s="486">
        <v>66188.009999999995</v>
      </c>
      <c r="I63" s="486">
        <v>82522.790000000008</v>
      </c>
      <c r="J63" s="485">
        <f t="shared" si="10"/>
        <v>86648.929500000013</v>
      </c>
    </row>
    <row r="64" spans="2:11">
      <c r="B64" s="492"/>
      <c r="C64" s="483">
        <v>413325</v>
      </c>
      <c r="D64" s="494" t="s">
        <v>600</v>
      </c>
      <c r="E64" s="486">
        <v>42740924.270000003</v>
      </c>
      <c r="F64" s="486">
        <v>74287555.660000011</v>
      </c>
      <c r="G64" s="486">
        <v>30645901.330000002</v>
      </c>
      <c r="H64" s="486">
        <v>5678606.4300000016</v>
      </c>
      <c r="I64" s="486">
        <v>12810734.050000001</v>
      </c>
      <c r="J64" s="485">
        <f t="shared" si="10"/>
        <v>13451270.752500001</v>
      </c>
      <c r="K64" s="26"/>
    </row>
    <row r="65" spans="2:11">
      <c r="B65" s="492"/>
      <c r="C65" s="483">
        <v>413329</v>
      </c>
      <c r="D65" s="494" t="s">
        <v>601</v>
      </c>
      <c r="E65" s="486">
        <v>2459646.2399999998</v>
      </c>
      <c r="F65" s="486">
        <v>2056116.5100000009</v>
      </c>
      <c r="G65" s="486">
        <v>2628461.2799999998</v>
      </c>
      <c r="H65" s="486">
        <v>2628461.2800000007</v>
      </c>
      <c r="I65" s="486">
        <v>3367923.4500000007</v>
      </c>
      <c r="J65" s="485">
        <f t="shared" si="10"/>
        <v>3536319.622500001</v>
      </c>
      <c r="K65" s="26"/>
    </row>
    <row r="66" spans="2:11">
      <c r="B66" s="492"/>
      <c r="C66" s="483">
        <v>413330</v>
      </c>
      <c r="D66" s="494" t="s">
        <v>602</v>
      </c>
      <c r="E66" s="486">
        <v>2948263.58</v>
      </c>
      <c r="F66" s="486">
        <v>2794007.92</v>
      </c>
      <c r="G66" s="486">
        <v>1882414.4000000001</v>
      </c>
      <c r="H66" s="486">
        <v>2294242.4900000002</v>
      </c>
      <c r="I66" s="486">
        <v>3546903.4700000007</v>
      </c>
      <c r="J66" s="485">
        <f t="shared" si="10"/>
        <v>3724248.6435000007</v>
      </c>
      <c r="K66" s="26"/>
    </row>
    <row r="67" spans="2:11">
      <c r="B67" s="492"/>
      <c r="C67" s="483">
        <v>413331</v>
      </c>
      <c r="D67" s="494" t="s">
        <v>603</v>
      </c>
      <c r="E67" s="486">
        <v>5106470.540000001</v>
      </c>
      <c r="F67" s="486">
        <v>5371982.7300000032</v>
      </c>
      <c r="G67" s="486">
        <v>5310941.1100000013</v>
      </c>
      <c r="H67" s="486">
        <v>7307670.0399999991</v>
      </c>
      <c r="I67" s="486">
        <v>8505076.0200000014</v>
      </c>
      <c r="J67" s="485">
        <f t="shared" si="10"/>
        <v>8930329.8210000023</v>
      </c>
    </row>
    <row r="68" spans="2:11">
      <c r="B68" s="492"/>
      <c r="C68" s="483">
        <v>413332</v>
      </c>
      <c r="D68" s="494" t="s">
        <v>604</v>
      </c>
      <c r="E68" s="486">
        <v>2985749.5500000003</v>
      </c>
      <c r="F68" s="486">
        <v>2942136.3499999992</v>
      </c>
      <c r="G68" s="486">
        <v>3355567.33</v>
      </c>
      <c r="H68" s="486">
        <v>3638284.9200000013</v>
      </c>
      <c r="I68" s="486">
        <v>3591394.37</v>
      </c>
      <c r="J68" s="485">
        <f t="shared" si="10"/>
        <v>3770964.0885000001</v>
      </c>
    </row>
    <row r="69" spans="2:11">
      <c r="B69" s="492"/>
      <c r="C69" s="483">
        <v>413333</v>
      </c>
      <c r="D69" s="494" t="s">
        <v>605</v>
      </c>
      <c r="E69" s="486">
        <v>0</v>
      </c>
      <c r="F69" s="486">
        <v>0</v>
      </c>
      <c r="G69" s="486">
        <v>39005159.359999999</v>
      </c>
      <c r="H69" s="486">
        <v>71749474.280000001</v>
      </c>
      <c r="I69" s="486">
        <v>86745772.100000024</v>
      </c>
      <c r="J69" s="485">
        <f t="shared" si="10"/>
        <v>91083060.705000028</v>
      </c>
      <c r="K69" s="26"/>
    </row>
    <row r="70" spans="2:11">
      <c r="B70" s="492"/>
      <c r="C70" s="483">
        <v>413399</v>
      </c>
      <c r="D70" s="494" t="s">
        <v>606</v>
      </c>
      <c r="E70" s="486">
        <v>122332.5</v>
      </c>
      <c r="F70" s="486">
        <v>64392.060000000005</v>
      </c>
      <c r="G70" s="486">
        <v>39124.5</v>
      </c>
      <c r="H70" s="486">
        <v>114992.78</v>
      </c>
      <c r="I70" s="486">
        <v>336140.45</v>
      </c>
      <c r="J70" s="485">
        <f t="shared" si="10"/>
        <v>352947.47250000003</v>
      </c>
    </row>
    <row r="71" spans="2:11">
      <c r="B71" s="496" t="s">
        <v>27</v>
      </c>
      <c r="C71" s="497" t="s">
        <v>28</v>
      </c>
      <c r="D71" s="497"/>
      <c r="E71" s="498">
        <v>62068619.179999992</v>
      </c>
      <c r="F71" s="498">
        <v>66841922.050000004</v>
      </c>
      <c r="G71" s="498">
        <v>77975642.669999987</v>
      </c>
      <c r="H71" s="498">
        <v>81833549.850000009</v>
      </c>
      <c r="I71" s="498">
        <v>83289661.850000009</v>
      </c>
      <c r="J71" s="498">
        <f>J72</f>
        <v>87454144.94250001</v>
      </c>
      <c r="K71" s="26"/>
    </row>
    <row r="72" spans="2:11">
      <c r="B72" s="492"/>
      <c r="C72" s="483">
        <v>413310</v>
      </c>
      <c r="D72" s="494" t="s">
        <v>607</v>
      </c>
      <c r="E72" s="495">
        <v>62068619.179999992</v>
      </c>
      <c r="F72" s="495">
        <v>66841922.050000004</v>
      </c>
      <c r="G72" s="495">
        <v>77975642.669999987</v>
      </c>
      <c r="H72" s="495">
        <v>81833549.850000009</v>
      </c>
      <c r="I72" s="495">
        <v>83289661.850000009</v>
      </c>
      <c r="J72" s="485">
        <f>I72*1.05</f>
        <v>87454144.94250001</v>
      </c>
    </row>
    <row r="73" spans="2:11">
      <c r="B73" s="496" t="s">
        <v>29</v>
      </c>
      <c r="C73" s="497" t="s">
        <v>2</v>
      </c>
      <c r="D73" s="497"/>
      <c r="E73" s="498">
        <v>7266870.9300000016</v>
      </c>
      <c r="F73" s="498">
        <v>10342390.570000002</v>
      </c>
      <c r="G73" s="498">
        <v>16260742.959999997</v>
      </c>
      <c r="H73" s="498">
        <v>24874529.890000004</v>
      </c>
      <c r="I73" s="498">
        <v>32899938.410000008</v>
      </c>
      <c r="J73" s="498">
        <f>J74+J80</f>
        <v>34544935.330500007</v>
      </c>
      <c r="K73" s="26"/>
    </row>
    <row r="74" spans="2:11">
      <c r="B74" s="493"/>
      <c r="C74" s="499" t="s">
        <v>608</v>
      </c>
      <c r="D74" s="499"/>
      <c r="E74" s="500">
        <v>2017690.12</v>
      </c>
      <c r="F74" s="500">
        <v>1842737.4300000002</v>
      </c>
      <c r="G74" s="500">
        <v>2499610.8600000003</v>
      </c>
      <c r="H74" s="500">
        <v>2987354.6</v>
      </c>
      <c r="I74" s="500">
        <v>3156457.0799999996</v>
      </c>
      <c r="J74" s="500">
        <f>SUM(J75:J79)</f>
        <v>3314279.9340000004</v>
      </c>
    </row>
    <row r="75" spans="2:11">
      <c r="B75" s="492"/>
      <c r="C75" s="483">
        <v>414403</v>
      </c>
      <c r="D75" s="484" t="s">
        <v>609</v>
      </c>
      <c r="E75" s="486">
        <v>387806.86999999994</v>
      </c>
      <c r="F75" s="486">
        <v>346288.47</v>
      </c>
      <c r="G75" s="486">
        <v>386481.34999999992</v>
      </c>
      <c r="H75" s="486">
        <v>380168.67</v>
      </c>
      <c r="I75" s="486">
        <v>307743.19000000006</v>
      </c>
      <c r="J75" s="485">
        <f t="shared" ref="J75:J79" si="11">I75*1.05</f>
        <v>323130.34950000007</v>
      </c>
      <c r="K75" s="26"/>
    </row>
    <row r="76" spans="2:11">
      <c r="B76" s="492"/>
      <c r="C76" s="483">
        <v>414409</v>
      </c>
      <c r="D76" s="484" t="s">
        <v>610</v>
      </c>
      <c r="E76" s="486">
        <v>489037.61000000004</v>
      </c>
      <c r="F76" s="486">
        <v>572787.42999999993</v>
      </c>
      <c r="G76" s="486">
        <v>659209.92000000016</v>
      </c>
      <c r="H76" s="486">
        <v>378216.9</v>
      </c>
      <c r="I76" s="486">
        <v>197756.54</v>
      </c>
      <c r="J76" s="485">
        <f t="shared" si="11"/>
        <v>207644.36700000003</v>
      </c>
      <c r="K76" s="26"/>
    </row>
    <row r="77" spans="2:11">
      <c r="B77" s="492"/>
      <c r="C77" s="483">
        <v>414412</v>
      </c>
      <c r="D77" s="484" t="s">
        <v>611</v>
      </c>
      <c r="E77" s="486">
        <v>949362.5900000002</v>
      </c>
      <c r="F77" s="486">
        <v>733056.86000000022</v>
      </c>
      <c r="G77" s="486">
        <v>1240581.83</v>
      </c>
      <c r="H77" s="486">
        <v>1775106.2899999998</v>
      </c>
      <c r="I77" s="486">
        <v>2017269.98</v>
      </c>
      <c r="J77" s="485">
        <f t="shared" si="11"/>
        <v>2118133.4790000003</v>
      </c>
      <c r="K77" s="26"/>
    </row>
    <row r="78" spans="2:11">
      <c r="B78" s="492"/>
      <c r="C78" s="483">
        <v>414413</v>
      </c>
      <c r="D78" s="494" t="s">
        <v>612</v>
      </c>
      <c r="E78" s="486">
        <v>184049.79999999993</v>
      </c>
      <c r="F78" s="486">
        <v>176428.16999999995</v>
      </c>
      <c r="G78" s="486">
        <v>199483.76</v>
      </c>
      <c r="H78" s="486">
        <v>405254.2300000001</v>
      </c>
      <c r="I78" s="486">
        <v>576901.83999999985</v>
      </c>
      <c r="J78" s="485">
        <f t="shared" si="11"/>
        <v>605746.93199999991</v>
      </c>
      <c r="K78" s="26"/>
    </row>
    <row r="79" spans="2:11">
      <c r="B79" s="492"/>
      <c r="C79" s="483">
        <v>414499</v>
      </c>
      <c r="D79" s="494" t="s">
        <v>613</v>
      </c>
      <c r="E79" s="486">
        <v>7433.25</v>
      </c>
      <c r="F79" s="486">
        <v>14176.5</v>
      </c>
      <c r="G79" s="486">
        <v>13854</v>
      </c>
      <c r="H79" s="486">
        <v>48608.510000000017</v>
      </c>
      <c r="I79" s="486">
        <v>56785.530000000006</v>
      </c>
      <c r="J79" s="485">
        <f t="shared" si="11"/>
        <v>59624.806500000006</v>
      </c>
    </row>
    <row r="80" spans="2:11">
      <c r="B80" s="492"/>
      <c r="C80" s="499" t="s">
        <v>30</v>
      </c>
      <c r="D80" s="499"/>
      <c r="E80" s="500">
        <v>5249180.8100000015</v>
      </c>
      <c r="F80" s="500">
        <v>8499653.1400000025</v>
      </c>
      <c r="G80" s="500">
        <v>13761132.099999998</v>
      </c>
      <c r="H80" s="500">
        <v>21887175.290000003</v>
      </c>
      <c r="I80" s="500">
        <v>29743481.330000009</v>
      </c>
      <c r="J80" s="500">
        <f>J81</f>
        <v>31230655.39650001</v>
      </c>
      <c r="K80" s="26"/>
    </row>
    <row r="81" spans="2:11">
      <c r="B81" s="492"/>
      <c r="C81" s="483">
        <v>416001</v>
      </c>
      <c r="D81" s="494" t="s">
        <v>614</v>
      </c>
      <c r="E81" s="486">
        <v>5249180.8100000015</v>
      </c>
      <c r="F81" s="486">
        <v>8499653.1400000025</v>
      </c>
      <c r="G81" s="486">
        <v>13761132.099999998</v>
      </c>
      <c r="H81" s="486">
        <v>21887175.290000003</v>
      </c>
      <c r="I81" s="486">
        <v>29743481.330000009</v>
      </c>
      <c r="J81" s="485">
        <f>I81*1.05</f>
        <v>31230655.39650001</v>
      </c>
      <c r="K81" s="26"/>
    </row>
    <row r="82" spans="2:11">
      <c r="B82" s="496" t="s">
        <v>31</v>
      </c>
      <c r="C82" s="497" t="s">
        <v>32</v>
      </c>
      <c r="D82" s="497"/>
      <c r="E82" s="498">
        <v>33344567.860000007</v>
      </c>
      <c r="F82" s="498">
        <v>37290500.280000009</v>
      </c>
      <c r="G82" s="498">
        <v>38428278.129999995</v>
      </c>
      <c r="H82" s="498">
        <v>39884880.669999994</v>
      </c>
      <c r="I82" s="498">
        <v>47381606.379999995</v>
      </c>
      <c r="J82" s="498">
        <f>J84+J83</f>
        <v>49750686.699000001</v>
      </c>
      <c r="K82" s="26"/>
    </row>
    <row r="83" spans="2:11">
      <c r="B83" s="492"/>
      <c r="C83" s="483">
        <v>415001</v>
      </c>
      <c r="D83" s="494" t="s">
        <v>615</v>
      </c>
      <c r="E83" s="486">
        <v>6371734.6600000001</v>
      </c>
      <c r="F83" s="486">
        <v>7224992.7000000039</v>
      </c>
      <c r="G83" s="486">
        <v>6106691.7399999993</v>
      </c>
      <c r="H83" s="486">
        <v>5291812.1399999978</v>
      </c>
      <c r="I83" s="486">
        <v>6777001.0800000019</v>
      </c>
      <c r="J83" s="485">
        <f t="shared" ref="J83:J84" si="12">I83*1.05</f>
        <v>7115851.1340000024</v>
      </c>
    </row>
    <row r="84" spans="2:11">
      <c r="B84" s="492"/>
      <c r="C84" s="483">
        <v>415002</v>
      </c>
      <c r="D84" s="494" t="s">
        <v>616</v>
      </c>
      <c r="E84" s="486">
        <v>26972833.200000007</v>
      </c>
      <c r="F84" s="486">
        <v>30065507.580000002</v>
      </c>
      <c r="G84" s="486">
        <v>32321586.389999997</v>
      </c>
      <c r="H84" s="486">
        <v>34593068.529999994</v>
      </c>
      <c r="I84" s="486">
        <v>40604605.299999997</v>
      </c>
      <c r="J84" s="485">
        <f t="shared" si="12"/>
        <v>42634835.564999998</v>
      </c>
    </row>
    <row r="85" spans="2:11">
      <c r="B85" s="496" t="s">
        <v>617</v>
      </c>
      <c r="C85" s="497"/>
      <c r="D85" s="497"/>
      <c r="E85" s="498">
        <v>146757232.58999997</v>
      </c>
      <c r="F85" s="498">
        <v>135819744.44</v>
      </c>
      <c r="G85" s="498">
        <v>150613906.56</v>
      </c>
      <c r="H85" s="498">
        <v>150056976.68000001</v>
      </c>
      <c r="I85" s="498">
        <v>198155638.00000006</v>
      </c>
      <c r="J85" s="498">
        <f>J86+J87</f>
        <v>208063419.90000007</v>
      </c>
      <c r="K85" s="26"/>
    </row>
    <row r="86" spans="2:11">
      <c r="B86" s="492"/>
      <c r="C86" s="483">
        <v>415003</v>
      </c>
      <c r="D86" s="494" t="s">
        <v>618</v>
      </c>
      <c r="E86" s="486">
        <v>29206453.760000005</v>
      </c>
      <c r="F86" s="486">
        <v>21382573.109999996</v>
      </c>
      <c r="G86" s="486">
        <v>29476231.340000004</v>
      </c>
      <c r="H86" s="486">
        <v>24126461.539999999</v>
      </c>
      <c r="I86" s="486">
        <v>11301794.770000001</v>
      </c>
      <c r="J86" s="485">
        <f t="shared" ref="J86:J87" si="13">I86*1.05</f>
        <v>11866884.508500002</v>
      </c>
    </row>
    <row r="87" spans="2:11">
      <c r="B87" s="492"/>
      <c r="C87" s="483">
        <v>419001</v>
      </c>
      <c r="D87" s="494" t="s">
        <v>619</v>
      </c>
      <c r="E87" s="486">
        <v>117550778.82999998</v>
      </c>
      <c r="F87" s="486">
        <v>114437171.33000001</v>
      </c>
      <c r="G87" s="486">
        <v>121137675.22000001</v>
      </c>
      <c r="H87" s="486">
        <v>125930515.14</v>
      </c>
      <c r="I87" s="486">
        <v>186853843.23000005</v>
      </c>
      <c r="J87" s="485">
        <f t="shared" si="13"/>
        <v>196196535.39150006</v>
      </c>
      <c r="K87" s="26"/>
    </row>
    <row r="88" spans="2:11">
      <c r="B88" s="496" t="s">
        <v>620</v>
      </c>
      <c r="C88" s="497"/>
      <c r="D88" s="497"/>
      <c r="E88" s="498">
        <v>592995.17000000016</v>
      </c>
      <c r="F88" s="498">
        <v>922601.34</v>
      </c>
      <c r="G88" s="498">
        <v>1288464.1999999997</v>
      </c>
      <c r="H88" s="498">
        <v>1823918.6100000003</v>
      </c>
      <c r="I88" s="498">
        <v>2302419.9899999998</v>
      </c>
      <c r="J88" s="498">
        <f>J89</f>
        <v>2417540.9894999997</v>
      </c>
    </row>
    <row r="89" spans="2:11">
      <c r="B89" s="492"/>
      <c r="C89" s="483">
        <v>416002</v>
      </c>
      <c r="D89" s="494" t="s">
        <v>621</v>
      </c>
      <c r="E89" s="486">
        <v>592995.17000000016</v>
      </c>
      <c r="F89" s="486">
        <v>922601.34</v>
      </c>
      <c r="G89" s="486">
        <v>1288464.1999999997</v>
      </c>
      <c r="H89" s="486">
        <v>1823918.6100000003</v>
      </c>
      <c r="I89" s="486">
        <v>2302419.9899999998</v>
      </c>
      <c r="J89" s="485">
        <f>I89*1.05</f>
        <v>2417540.9894999997</v>
      </c>
      <c r="K89" s="26"/>
    </row>
    <row r="91" spans="2:11" ht="15" customHeight="1">
      <c r="B91" s="661" t="s">
        <v>33</v>
      </c>
      <c r="C91" s="661"/>
      <c r="D91" s="661"/>
      <c r="E91" s="661"/>
      <c r="F91" s="661"/>
      <c r="G91" s="661"/>
      <c r="H91" s="661"/>
      <c r="I91" s="661"/>
      <c r="J91" s="661"/>
    </row>
    <row r="92" spans="2:11">
      <c r="B92" s="661"/>
      <c r="C92" s="661"/>
      <c r="D92" s="661"/>
      <c r="E92" s="661"/>
      <c r="F92" s="661"/>
      <c r="G92" s="661"/>
      <c r="H92" s="661"/>
      <c r="I92" s="661"/>
      <c r="J92" s="661"/>
    </row>
    <row r="93" spans="2:11">
      <c r="B93" s="661"/>
      <c r="C93" s="661"/>
      <c r="D93" s="661"/>
      <c r="E93" s="661"/>
      <c r="F93" s="661"/>
      <c r="G93" s="661"/>
      <c r="H93" s="661"/>
      <c r="I93" s="661"/>
      <c r="J93" s="661"/>
    </row>
  </sheetData>
  <mergeCells count="3">
    <mergeCell ref="B91:J93"/>
    <mergeCell ref="G2:J6"/>
    <mergeCell ref="B8:C8"/>
  </mergeCells>
  <conditionalFormatting sqref="B11:J25 D26 B26:C30 J26:J30 D27:I30 B31:J89">
    <cfRule type="expression" dxfId="1" priority="321">
      <formula>#REF!&lt;&gt;""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R136"/>
  <sheetViews>
    <sheetView showGridLines="0" zoomScaleNormal="100" workbookViewId="0">
      <selection activeCell="L17" sqref="L17:L22"/>
    </sheetView>
  </sheetViews>
  <sheetFormatPr defaultColWidth="9.140625" defaultRowHeight="15"/>
  <cols>
    <col min="1" max="1" width="9.140625" customWidth="1"/>
    <col min="2" max="2" width="52.85546875" bestFit="1" customWidth="1"/>
    <col min="3" max="3" width="14" bestFit="1" customWidth="1"/>
    <col min="4" max="4" width="9.140625" bestFit="1" customWidth="1"/>
    <col min="5" max="5" width="11.7109375" bestFit="1" customWidth="1"/>
    <col min="6" max="6" width="11.5703125" bestFit="1" customWidth="1"/>
    <col min="7" max="7" width="12.42578125" customWidth="1"/>
    <col min="8" max="8" width="12.5703125" customWidth="1"/>
    <col min="9" max="9" width="12.85546875" customWidth="1"/>
    <col min="10" max="10" width="12.5703125" bestFit="1" customWidth="1"/>
    <col min="11" max="11" width="9.140625" customWidth="1"/>
    <col min="12" max="12" width="14.85546875" customWidth="1"/>
    <col min="13" max="23" width="9.140625" customWidth="1"/>
  </cols>
  <sheetData>
    <row r="1" spans="2:18" ht="15" customHeight="1" thickBot="1"/>
    <row r="2" spans="2:18" ht="15.75">
      <c r="B2" s="164" t="s">
        <v>9</v>
      </c>
      <c r="C2" s="44"/>
      <c r="D2" s="44"/>
      <c r="E2" s="44"/>
      <c r="F2" s="165"/>
      <c r="G2" s="44"/>
      <c r="H2" s="166"/>
      <c r="I2" s="166"/>
      <c r="J2" s="167"/>
    </row>
    <row r="3" spans="2:18" ht="15.75">
      <c r="B3" s="168" t="s">
        <v>10</v>
      </c>
      <c r="C3" s="47"/>
      <c r="D3" s="169" t="s">
        <v>0</v>
      </c>
      <c r="E3" s="169" t="s">
        <v>11</v>
      </c>
      <c r="F3" s="170"/>
      <c r="G3" s="47"/>
      <c r="H3" s="171"/>
      <c r="I3" s="172"/>
      <c r="J3" s="173"/>
    </row>
    <row r="4" spans="2:18" ht="15.75">
      <c r="B4" s="174" t="s">
        <v>229</v>
      </c>
      <c r="C4" s="172"/>
      <c r="D4" s="172"/>
      <c r="E4" s="172"/>
      <c r="F4" s="175"/>
      <c r="G4" s="172"/>
      <c r="H4" s="172"/>
      <c r="I4" s="172"/>
      <c r="J4" s="173"/>
    </row>
    <row r="5" spans="2:18" ht="15.75">
      <c r="B5" s="174" t="s">
        <v>13</v>
      </c>
      <c r="C5" s="172"/>
      <c r="D5" s="172"/>
      <c r="E5" s="172"/>
      <c r="F5" s="175"/>
      <c r="G5" s="172"/>
      <c r="H5" s="172"/>
      <c r="I5" s="172"/>
      <c r="J5" s="173"/>
    </row>
    <row r="6" spans="2:18" ht="16.5" thickBot="1">
      <c r="B6" s="176" t="s">
        <v>14</v>
      </c>
      <c r="C6" s="177"/>
      <c r="D6" s="177"/>
      <c r="E6" s="177"/>
      <c r="F6" s="178"/>
      <c r="G6" s="177"/>
      <c r="H6" s="177"/>
      <c r="I6" s="177"/>
      <c r="J6" s="179"/>
    </row>
    <row r="7" spans="2:18" ht="16.5" thickBot="1">
      <c r="B7" s="19"/>
      <c r="C7" s="20"/>
      <c r="D7" s="20"/>
      <c r="E7" s="20"/>
      <c r="F7" s="21"/>
      <c r="G7" s="21"/>
      <c r="H7" s="21"/>
      <c r="I7" s="21"/>
      <c r="J7" s="21"/>
    </row>
    <row r="8" spans="2:18" ht="16.5" thickTop="1">
      <c r="B8" s="668" t="s">
        <v>15</v>
      </c>
      <c r="C8" s="668"/>
      <c r="D8" s="22" t="s">
        <v>16</v>
      </c>
      <c r="E8" s="22">
        <v>2019</v>
      </c>
      <c r="F8" s="22">
        <v>2020</v>
      </c>
      <c r="G8" s="22">
        <v>2021</v>
      </c>
      <c r="H8" s="22">
        <v>2022</v>
      </c>
      <c r="I8" s="22">
        <v>2023</v>
      </c>
      <c r="J8" s="22">
        <v>2024</v>
      </c>
    </row>
    <row r="9" spans="2:18">
      <c r="B9" s="23"/>
      <c r="C9" s="23"/>
      <c r="D9" s="23"/>
      <c r="E9" s="23"/>
      <c r="F9" s="180"/>
      <c r="G9" s="180"/>
      <c r="H9" s="23"/>
      <c r="I9" s="23"/>
      <c r="J9" s="420"/>
    </row>
    <row r="10" spans="2:18">
      <c r="B10" s="181" t="s">
        <v>230</v>
      </c>
      <c r="C10" s="182"/>
      <c r="D10" s="183" t="s">
        <v>17</v>
      </c>
      <c r="E10" s="184">
        <f>SUM(E11:E14)</f>
        <v>472445031.8599999</v>
      </c>
      <c r="F10" s="185">
        <f t="shared" ref="F10:J10" si="0">SUM(F11:F14)</f>
        <v>493295859.84999996</v>
      </c>
      <c r="G10" s="185">
        <f>SUM(G11:G14)</f>
        <v>534274224.6700002</v>
      </c>
      <c r="H10" s="185">
        <f t="shared" si="0"/>
        <v>490863885.40999997</v>
      </c>
      <c r="I10" s="185">
        <f t="shared" si="0"/>
        <v>541281290.01999986</v>
      </c>
      <c r="J10" s="186">
        <f t="shared" si="0"/>
        <v>568345354.52099991</v>
      </c>
    </row>
    <row r="11" spans="2:18">
      <c r="B11" s="501">
        <v>311001001</v>
      </c>
      <c r="C11" s="187" t="s">
        <v>61</v>
      </c>
      <c r="D11" s="188" t="s">
        <v>17</v>
      </c>
      <c r="E11" s="453">
        <v>377847899.64999992</v>
      </c>
      <c r="F11" s="443">
        <v>409439261.56</v>
      </c>
      <c r="G11" s="455">
        <v>441612895.86000019</v>
      </c>
      <c r="H11" s="455">
        <v>392683535.11999995</v>
      </c>
      <c r="I11" s="455">
        <v>433152840.63999993</v>
      </c>
      <c r="J11" s="456">
        <f>I11*1.05</f>
        <v>454810482.67199993</v>
      </c>
      <c r="L11" s="140"/>
    </row>
    <row r="12" spans="2:18">
      <c r="B12" s="501">
        <v>311001002</v>
      </c>
      <c r="C12" s="187" t="s">
        <v>62</v>
      </c>
      <c r="D12" s="188" t="s">
        <v>17</v>
      </c>
      <c r="E12" s="453">
        <v>38451307</v>
      </c>
      <c r="F12" s="443">
        <v>39304844.290000007</v>
      </c>
      <c r="G12" s="455">
        <v>43825966.139999993</v>
      </c>
      <c r="H12" s="455">
        <v>38772965.709999993</v>
      </c>
      <c r="I12" s="455">
        <v>45156483.659999989</v>
      </c>
      <c r="J12" s="456">
        <f t="shared" ref="J12:J14" si="1">I12*1.05</f>
        <v>47414307.842999987</v>
      </c>
      <c r="M12">
        <v>472445031.8599999</v>
      </c>
      <c r="N12">
        <v>493295859.84999996</v>
      </c>
      <c r="O12">
        <v>534274224.6700002</v>
      </c>
      <c r="P12">
        <v>490863885.40999997</v>
      </c>
      <c r="Q12">
        <v>541281290.01999986</v>
      </c>
      <c r="R12">
        <v>568345354.52099991</v>
      </c>
    </row>
    <row r="13" spans="2:18">
      <c r="B13" s="501">
        <v>311001003</v>
      </c>
      <c r="C13" s="187" t="s">
        <v>63</v>
      </c>
      <c r="D13" s="188" t="s">
        <v>17</v>
      </c>
      <c r="E13" s="453">
        <v>1379140.3299999998</v>
      </c>
      <c r="F13" s="443">
        <v>668176.33999999985</v>
      </c>
      <c r="G13" s="455">
        <v>1242388.3399999999</v>
      </c>
      <c r="H13" s="455">
        <v>1989812.7500000005</v>
      </c>
      <c r="I13" s="455">
        <v>1847590.9700000002</v>
      </c>
      <c r="J13" s="456">
        <f t="shared" si="1"/>
        <v>1939970.5185000002</v>
      </c>
    </row>
    <row r="14" spans="2:18">
      <c r="B14" s="501">
        <v>311001004</v>
      </c>
      <c r="C14" s="187" t="s">
        <v>64</v>
      </c>
      <c r="D14" s="188" t="s">
        <v>17</v>
      </c>
      <c r="E14" s="453">
        <v>54766684.880000003</v>
      </c>
      <c r="F14" s="443">
        <v>43883577.659999982</v>
      </c>
      <c r="G14" s="455">
        <v>47592974.330000013</v>
      </c>
      <c r="H14" s="455">
        <v>57417571.830000013</v>
      </c>
      <c r="I14" s="455">
        <v>61124374.749999993</v>
      </c>
      <c r="J14" s="456">
        <f t="shared" si="1"/>
        <v>64180593.487499997</v>
      </c>
    </row>
    <row r="15" spans="2:18">
      <c r="B15" s="189" t="s">
        <v>231</v>
      </c>
      <c r="C15" s="190"/>
      <c r="D15" s="191" t="s">
        <v>17</v>
      </c>
      <c r="E15" s="192">
        <f t="shared" ref="E15:J15" si="2">SUM(E16:E19)</f>
        <v>113406508.51000001</v>
      </c>
      <c r="F15" s="193">
        <f t="shared" si="2"/>
        <v>116214650.00000003</v>
      </c>
      <c r="G15" s="193">
        <f t="shared" si="2"/>
        <v>136865393.43000004</v>
      </c>
      <c r="H15" s="193">
        <f t="shared" si="2"/>
        <v>131931788.87999997</v>
      </c>
      <c r="I15" s="193">
        <f t="shared" si="2"/>
        <v>136591361.35999998</v>
      </c>
      <c r="J15" s="194">
        <f t="shared" si="2"/>
        <v>143420929.428</v>
      </c>
    </row>
    <row r="16" spans="2:18">
      <c r="B16" s="501">
        <v>312001001</v>
      </c>
      <c r="C16" s="187" t="s">
        <v>61</v>
      </c>
      <c r="D16" s="188" t="s">
        <v>17</v>
      </c>
      <c r="E16" s="453">
        <v>75354302.150000021</v>
      </c>
      <c r="F16" s="443">
        <v>84431747.64000003</v>
      </c>
      <c r="G16" s="455">
        <v>101127563.32000002</v>
      </c>
      <c r="H16" s="455">
        <v>93505654.629999965</v>
      </c>
      <c r="I16" s="455">
        <v>98004681.129999995</v>
      </c>
      <c r="J16" s="456">
        <f t="shared" ref="J16:J19" si="3">I16*1.05</f>
        <v>102904915.1865</v>
      </c>
    </row>
    <row r="17" spans="2:12">
      <c r="B17" s="501">
        <v>312001002</v>
      </c>
      <c r="C17" s="187" t="s">
        <v>62</v>
      </c>
      <c r="D17" s="188" t="s">
        <v>17</v>
      </c>
      <c r="E17" s="453">
        <v>15610659.770000003</v>
      </c>
      <c r="F17" s="443">
        <v>14681394.000000002</v>
      </c>
      <c r="G17" s="455">
        <v>17055871.25</v>
      </c>
      <c r="H17" s="455">
        <v>16456917.520000003</v>
      </c>
      <c r="I17" s="455">
        <v>17777151.389999997</v>
      </c>
      <c r="J17" s="456">
        <f t="shared" si="3"/>
        <v>18666008.959499996</v>
      </c>
      <c r="L17">
        <v>472445031.8599999</v>
      </c>
    </row>
    <row r="18" spans="2:12">
      <c r="B18" s="501">
        <v>312001003</v>
      </c>
      <c r="C18" s="187" t="s">
        <v>63</v>
      </c>
      <c r="D18" s="188" t="s">
        <v>17</v>
      </c>
      <c r="E18" s="453">
        <v>211333.87999999998</v>
      </c>
      <c r="F18" s="443">
        <v>64974.240000000005</v>
      </c>
      <c r="G18" s="455">
        <v>160947.33999999997</v>
      </c>
      <c r="H18" s="455">
        <v>213483.87000000005</v>
      </c>
      <c r="I18" s="455">
        <v>191083.58000000002</v>
      </c>
      <c r="J18" s="456">
        <f t="shared" si="3"/>
        <v>200637.75900000002</v>
      </c>
      <c r="L18">
        <v>493295859.84999996</v>
      </c>
    </row>
    <row r="19" spans="2:12">
      <c r="B19" s="501">
        <v>312001004</v>
      </c>
      <c r="C19" s="187" t="s">
        <v>64</v>
      </c>
      <c r="D19" s="188" t="s">
        <v>17</v>
      </c>
      <c r="E19" s="453">
        <v>22230212.709999993</v>
      </c>
      <c r="F19" s="443">
        <v>17036534.119999997</v>
      </c>
      <c r="G19" s="455">
        <v>18521011.520000003</v>
      </c>
      <c r="H19" s="455">
        <v>21755732.859999992</v>
      </c>
      <c r="I19" s="455">
        <v>20618445.259999994</v>
      </c>
      <c r="J19" s="456">
        <f t="shared" si="3"/>
        <v>21649367.522999994</v>
      </c>
      <c r="L19">
        <v>534274224.6700002</v>
      </c>
    </row>
    <row r="20" spans="2:12">
      <c r="B20" s="195" t="s">
        <v>232</v>
      </c>
      <c r="C20" s="196"/>
      <c r="D20" s="197" t="s">
        <v>17</v>
      </c>
      <c r="E20" s="198">
        <f t="shared" ref="E20:J20" si="4">SUM(E21:E28)</f>
        <v>30952052.959999997</v>
      </c>
      <c r="F20" s="199">
        <f t="shared" si="4"/>
        <v>30840674.139999997</v>
      </c>
      <c r="G20" s="199">
        <f>SUM(G21:G28)</f>
        <v>36670499.550000004</v>
      </c>
      <c r="H20" s="199">
        <f t="shared" si="4"/>
        <v>32716222.710000005</v>
      </c>
      <c r="I20" s="199">
        <f t="shared" si="4"/>
        <v>33446193.059999987</v>
      </c>
      <c r="J20" s="200">
        <f t="shared" si="4"/>
        <v>40537656.820499994</v>
      </c>
      <c r="L20">
        <v>490863885.40999997</v>
      </c>
    </row>
    <row r="21" spans="2:12">
      <c r="B21" s="501">
        <v>311002001</v>
      </c>
      <c r="C21" s="187" t="s">
        <v>622</v>
      </c>
      <c r="D21" s="188" t="s">
        <v>17</v>
      </c>
      <c r="E21" s="453">
        <v>4056270.6</v>
      </c>
      <c r="F21" s="443">
        <v>4694995.6700000009</v>
      </c>
      <c r="G21" s="454">
        <v>5345864.6000000006</v>
      </c>
      <c r="H21" s="454">
        <v>5401513.9699999979</v>
      </c>
      <c r="I21" s="454">
        <v>5696684.4399999985</v>
      </c>
      <c r="J21" s="456">
        <f t="shared" ref="J21:J28" si="5">I21*1.05</f>
        <v>5981518.6619999986</v>
      </c>
      <c r="L21">
        <v>541281290.01999986</v>
      </c>
    </row>
    <row r="22" spans="2:12">
      <c r="B22" s="501">
        <v>311002002</v>
      </c>
      <c r="C22" s="187" t="s">
        <v>623</v>
      </c>
      <c r="D22" s="188" t="s">
        <v>17</v>
      </c>
      <c r="E22" s="453">
        <v>8968317.2200000007</v>
      </c>
      <c r="F22" s="443">
        <v>9400464.4699999988</v>
      </c>
      <c r="G22" s="455">
        <v>11634822.390000001</v>
      </c>
      <c r="H22" s="455">
        <v>11493179.390000001</v>
      </c>
      <c r="I22" s="455">
        <v>11186601.519999996</v>
      </c>
      <c r="J22" s="456">
        <f t="shared" si="5"/>
        <v>11745931.595999995</v>
      </c>
      <c r="K22" s="201"/>
      <c r="L22">
        <v>568345354.52099991</v>
      </c>
    </row>
    <row r="23" spans="2:12">
      <c r="B23" s="501">
        <v>311002003</v>
      </c>
      <c r="C23" s="187" t="s">
        <v>624</v>
      </c>
      <c r="D23" s="188" t="s">
        <v>17</v>
      </c>
      <c r="E23" s="453">
        <v>10495406.800000001</v>
      </c>
      <c r="F23" s="443">
        <v>9520306.8499999996</v>
      </c>
      <c r="G23" s="455">
        <v>11605810.540000001</v>
      </c>
      <c r="H23" s="455">
        <v>12754902.400000004</v>
      </c>
      <c r="I23" s="455">
        <v>13483415.51</v>
      </c>
      <c r="J23" s="456">
        <f t="shared" si="5"/>
        <v>14157586.285500001</v>
      </c>
      <c r="K23" s="201"/>
      <c r="L23" s="201"/>
    </row>
    <row r="24" spans="2:12">
      <c r="B24" s="501">
        <v>311002004</v>
      </c>
      <c r="C24" s="187" t="s">
        <v>625</v>
      </c>
      <c r="D24" s="188" t="s">
        <v>17</v>
      </c>
      <c r="E24" s="453">
        <v>4453961.9899999993</v>
      </c>
      <c r="F24" s="443">
        <v>4760848.7200000007</v>
      </c>
      <c r="G24" s="455">
        <v>5161099.1499999994</v>
      </c>
      <c r="H24" s="455">
        <v>0</v>
      </c>
      <c r="I24" s="455">
        <v>0</v>
      </c>
      <c r="J24" s="456">
        <f>G24*1.05</f>
        <v>5419154.1074999999</v>
      </c>
      <c r="K24" s="201"/>
      <c r="L24" s="201"/>
    </row>
    <row r="25" spans="2:12">
      <c r="B25" s="501">
        <v>311002006</v>
      </c>
      <c r="C25" s="187" t="s">
        <v>626</v>
      </c>
      <c r="D25" s="188" t="s">
        <v>17</v>
      </c>
      <c r="E25" s="453">
        <v>2817.47</v>
      </c>
      <c r="F25" s="443">
        <v>-2790.2300000000005</v>
      </c>
      <c r="G25" s="455">
        <v>7848.33</v>
      </c>
      <c r="H25" s="455">
        <v>9771.56</v>
      </c>
      <c r="I25" s="455">
        <v>17622.13</v>
      </c>
      <c r="J25" s="456">
        <f t="shared" si="5"/>
        <v>18503.236500000003</v>
      </c>
      <c r="K25" s="201"/>
      <c r="L25" s="201"/>
    </row>
    <row r="26" spans="2:12">
      <c r="B26" s="501">
        <v>311002009</v>
      </c>
      <c r="C26" s="187" t="s">
        <v>335</v>
      </c>
      <c r="D26" s="188" t="s">
        <v>17</v>
      </c>
      <c r="E26" s="453">
        <v>2561010.34</v>
      </c>
      <c r="F26" s="443">
        <v>2071976.4700000002</v>
      </c>
      <c r="G26" s="455">
        <v>2499097.0700000008</v>
      </c>
      <c r="H26" s="455">
        <v>2621032.9300000011</v>
      </c>
      <c r="I26" s="455">
        <v>2617847.7899999996</v>
      </c>
      <c r="J26" s="456">
        <f t="shared" si="5"/>
        <v>2748740.1794999996</v>
      </c>
      <c r="K26" s="201"/>
      <c r="L26" s="201"/>
    </row>
    <row r="27" spans="2:12">
      <c r="B27" s="502">
        <v>312002001</v>
      </c>
      <c r="C27" s="187" t="s">
        <v>627</v>
      </c>
      <c r="D27" s="188" t="s">
        <v>17</v>
      </c>
      <c r="E27" s="453">
        <v>2285.3000000000002</v>
      </c>
      <c r="F27" s="443">
        <v>12349.400000000001</v>
      </c>
      <c r="G27" s="455">
        <v>11515.519999999995</v>
      </c>
      <c r="H27" s="455">
        <v>5467.1100000000006</v>
      </c>
      <c r="I27" s="455">
        <v>8899.86</v>
      </c>
      <c r="J27" s="456">
        <f t="shared" si="5"/>
        <v>9344.853000000001</v>
      </c>
      <c r="K27" s="201"/>
      <c r="L27" s="201"/>
    </row>
    <row r="28" spans="2:12">
      <c r="B28" s="502">
        <v>312002005</v>
      </c>
      <c r="C28" s="187" t="s">
        <v>628</v>
      </c>
      <c r="D28" s="188" t="s">
        <v>17</v>
      </c>
      <c r="E28" s="453">
        <v>411983.24</v>
      </c>
      <c r="F28" s="443">
        <v>382522.79</v>
      </c>
      <c r="G28" s="455">
        <v>404441.95000000007</v>
      </c>
      <c r="H28" s="455">
        <v>430355.35000000003</v>
      </c>
      <c r="I28" s="455">
        <v>435121.81000000011</v>
      </c>
      <c r="J28" s="456">
        <f t="shared" si="5"/>
        <v>456877.90050000016</v>
      </c>
    </row>
    <row r="29" spans="2:12" ht="15.75" thickBot="1">
      <c r="B29" s="202"/>
      <c r="C29" s="202"/>
      <c r="D29" s="202"/>
      <c r="E29" s="202"/>
      <c r="F29" s="203"/>
      <c r="G29" s="202"/>
      <c r="H29" s="202"/>
      <c r="I29" s="202"/>
      <c r="J29" s="202"/>
      <c r="K29" s="201"/>
      <c r="L29" s="201"/>
    </row>
    <row r="30" spans="2:12" ht="15.75" thickTop="1">
      <c r="B30" s="204"/>
      <c r="K30" s="201"/>
      <c r="L30" s="201"/>
    </row>
    <row r="31" spans="2:12">
      <c r="B31" s="204"/>
      <c r="E31" s="201"/>
      <c r="F31" s="201"/>
      <c r="G31" s="201">
        <f>G10+G15</f>
        <v>671139618.10000026</v>
      </c>
      <c r="H31" s="201">
        <f>H10+H15</f>
        <v>622795674.28999996</v>
      </c>
      <c r="I31" s="201">
        <f>I10+I15</f>
        <v>677872651.37999988</v>
      </c>
      <c r="J31" s="201">
        <f>J10+J15</f>
        <v>711766283.94899988</v>
      </c>
    </row>
    <row r="32" spans="2:12">
      <c r="E32" s="201"/>
      <c r="F32" s="201"/>
      <c r="G32" s="201"/>
      <c r="H32" s="201"/>
      <c r="I32" s="201"/>
      <c r="J32" s="201"/>
    </row>
    <row r="33" spans="5:12">
      <c r="F33" s="201"/>
      <c r="G33" s="201"/>
      <c r="H33" s="201"/>
      <c r="I33" s="201"/>
      <c r="J33" s="201"/>
      <c r="K33" s="201"/>
      <c r="L33" s="201"/>
    </row>
    <row r="34" spans="5:12">
      <c r="E34" s="26"/>
      <c r="F34" s="26"/>
      <c r="G34" s="26"/>
      <c r="H34" s="26"/>
      <c r="I34" s="26"/>
      <c r="J34" s="26"/>
      <c r="K34" s="201"/>
      <c r="L34" s="201"/>
    </row>
    <row r="35" spans="5:12">
      <c r="F35" s="201"/>
      <c r="G35" s="201"/>
      <c r="H35" s="201"/>
      <c r="I35" s="201"/>
      <c r="J35" s="201"/>
    </row>
    <row r="36" spans="5:12">
      <c r="E36" s="26"/>
      <c r="F36" s="205"/>
      <c r="G36" s="206"/>
      <c r="H36" s="206"/>
      <c r="I36" s="206"/>
      <c r="J36" s="205"/>
    </row>
    <row r="37" spans="5:12">
      <c r="F37" s="201"/>
      <c r="G37" s="201"/>
      <c r="H37" s="201"/>
      <c r="I37" s="201"/>
      <c r="J37" s="201"/>
    </row>
    <row r="38" spans="5:12">
      <c r="F38" s="201"/>
      <c r="G38" s="201"/>
      <c r="H38" s="201"/>
      <c r="I38" s="201"/>
      <c r="J38" s="201"/>
    </row>
    <row r="39" spans="5:12">
      <c r="F39" s="201"/>
      <c r="G39" s="201"/>
      <c r="H39" s="201"/>
      <c r="I39" s="201"/>
      <c r="J39" s="201"/>
    </row>
    <row r="40" spans="5:12">
      <c r="F40" s="201"/>
      <c r="G40" s="201"/>
      <c r="H40" s="201"/>
      <c r="I40" s="201"/>
      <c r="J40" s="201"/>
    </row>
    <row r="41" spans="5:12">
      <c r="F41" s="201"/>
      <c r="G41" s="201"/>
      <c r="H41" s="201"/>
      <c r="I41" s="201"/>
      <c r="J41" s="201"/>
    </row>
    <row r="42" spans="5:12">
      <c r="F42" s="201"/>
      <c r="G42" s="201"/>
      <c r="H42" s="201"/>
      <c r="I42" s="201"/>
      <c r="J42" s="201"/>
    </row>
    <row r="43" spans="5:12">
      <c r="F43" s="201"/>
      <c r="G43" s="201"/>
      <c r="H43" s="201"/>
      <c r="I43" s="201"/>
      <c r="J43" s="201"/>
    </row>
    <row r="44" spans="5:12">
      <c r="F44" s="201"/>
      <c r="G44" s="201"/>
      <c r="H44" s="201"/>
      <c r="I44" s="201"/>
      <c r="J44" s="201"/>
    </row>
    <row r="45" spans="5:12">
      <c r="F45" s="201"/>
      <c r="G45" s="201"/>
      <c r="H45" s="201"/>
      <c r="I45" s="201"/>
      <c r="J45" s="201"/>
    </row>
    <row r="46" spans="5:12">
      <c r="F46" s="207"/>
    </row>
    <row r="47" spans="5:12">
      <c r="F47" s="207"/>
    </row>
    <row r="48" spans="5:12">
      <c r="F48" s="207"/>
    </row>
    <row r="49" spans="6:6">
      <c r="F49" s="207"/>
    </row>
    <row r="50" spans="6:6">
      <c r="F50" s="207"/>
    </row>
    <row r="51" spans="6:6">
      <c r="F51" s="207"/>
    </row>
    <row r="52" spans="6:6">
      <c r="F52" s="207"/>
    </row>
    <row r="53" spans="6:6">
      <c r="F53" s="207"/>
    </row>
    <row r="54" spans="6:6">
      <c r="F54" s="207"/>
    </row>
    <row r="55" spans="6:6">
      <c r="F55" s="207"/>
    </row>
    <row r="56" spans="6:6">
      <c r="F56" s="207"/>
    </row>
    <row r="57" spans="6:6">
      <c r="F57" s="207"/>
    </row>
    <row r="58" spans="6:6">
      <c r="F58" s="207"/>
    </row>
    <row r="59" spans="6:6">
      <c r="F59" s="207"/>
    </row>
    <row r="60" spans="6:6">
      <c r="F60" s="207"/>
    </row>
    <row r="61" spans="6:6">
      <c r="F61" s="207"/>
    </row>
    <row r="62" spans="6:6">
      <c r="F62" s="207"/>
    </row>
    <row r="63" spans="6:6">
      <c r="F63" s="207"/>
    </row>
    <row r="64" spans="6:6">
      <c r="F64" s="207"/>
    </row>
    <row r="65" spans="6:6">
      <c r="F65" s="207"/>
    </row>
    <row r="66" spans="6:6">
      <c r="F66" s="207"/>
    </row>
    <row r="67" spans="6:6">
      <c r="F67" s="207"/>
    </row>
    <row r="68" spans="6:6">
      <c r="F68" s="207"/>
    </row>
    <row r="69" spans="6:6">
      <c r="F69" s="207"/>
    </row>
    <row r="70" spans="6:6">
      <c r="F70" s="207"/>
    </row>
    <row r="71" spans="6:6">
      <c r="F71" s="207"/>
    </row>
    <row r="72" spans="6:6">
      <c r="F72" s="207"/>
    </row>
    <row r="73" spans="6:6">
      <c r="F73" s="207"/>
    </row>
    <row r="74" spans="6:6">
      <c r="F74" s="207"/>
    </row>
    <row r="75" spans="6:6">
      <c r="F75" s="207"/>
    </row>
    <row r="76" spans="6:6">
      <c r="F76" s="207"/>
    </row>
    <row r="77" spans="6:6">
      <c r="F77" s="207"/>
    </row>
    <row r="78" spans="6:6">
      <c r="F78" s="207"/>
    </row>
    <row r="79" spans="6:6">
      <c r="F79" s="207"/>
    </row>
    <row r="80" spans="6:6">
      <c r="F80" s="207"/>
    </row>
    <row r="81" spans="6:6">
      <c r="F81" s="207"/>
    </row>
    <row r="82" spans="6:6">
      <c r="F82" s="207"/>
    </row>
    <row r="83" spans="6:6">
      <c r="F83" s="207"/>
    </row>
    <row r="84" spans="6:6">
      <c r="F84" s="207"/>
    </row>
    <row r="85" spans="6:6">
      <c r="F85" s="207"/>
    </row>
    <row r="86" spans="6:6">
      <c r="F86" s="207"/>
    </row>
    <row r="87" spans="6:6">
      <c r="F87" s="207"/>
    </row>
    <row r="88" spans="6:6">
      <c r="F88" s="207"/>
    </row>
    <row r="89" spans="6:6">
      <c r="F89" s="207"/>
    </row>
    <row r="90" spans="6:6">
      <c r="F90" s="207"/>
    </row>
    <row r="91" spans="6:6">
      <c r="F91" s="207"/>
    </row>
    <row r="92" spans="6:6">
      <c r="F92" s="207"/>
    </row>
    <row r="93" spans="6:6">
      <c r="F93" s="207"/>
    </row>
    <row r="94" spans="6:6">
      <c r="F94" s="207"/>
    </row>
    <row r="95" spans="6:6">
      <c r="F95" s="207"/>
    </row>
    <row r="96" spans="6:6">
      <c r="F96" s="207"/>
    </row>
    <row r="97" spans="6:6">
      <c r="F97" s="207"/>
    </row>
    <row r="98" spans="6:6">
      <c r="F98" s="207"/>
    </row>
    <row r="99" spans="6:6">
      <c r="F99" s="207"/>
    </row>
    <row r="100" spans="6:6">
      <c r="F100" s="207"/>
    </row>
    <row r="101" spans="6:6">
      <c r="F101" s="207"/>
    </row>
    <row r="102" spans="6:6">
      <c r="F102" s="207"/>
    </row>
    <row r="103" spans="6:6">
      <c r="F103" s="207"/>
    </row>
    <row r="104" spans="6:6">
      <c r="F104" s="207"/>
    </row>
    <row r="105" spans="6:6">
      <c r="F105" s="207"/>
    </row>
    <row r="106" spans="6:6">
      <c r="F106" s="207"/>
    </row>
    <row r="107" spans="6:6">
      <c r="F107" s="207"/>
    </row>
    <row r="108" spans="6:6">
      <c r="F108" s="207"/>
    </row>
    <row r="109" spans="6:6">
      <c r="F109" s="207"/>
    </row>
    <row r="110" spans="6:6">
      <c r="F110" s="207"/>
    </row>
    <row r="111" spans="6:6">
      <c r="F111" s="207"/>
    </row>
    <row r="112" spans="6:6">
      <c r="F112" s="207"/>
    </row>
    <row r="113" spans="6:6">
      <c r="F113" s="207"/>
    </row>
    <row r="114" spans="6:6">
      <c r="F114" s="207"/>
    </row>
    <row r="115" spans="6:6">
      <c r="F115" s="207"/>
    </row>
    <row r="116" spans="6:6">
      <c r="F116" s="207"/>
    </row>
    <row r="117" spans="6:6">
      <c r="F117" s="207"/>
    </row>
    <row r="118" spans="6:6">
      <c r="F118" s="207"/>
    </row>
    <row r="119" spans="6:6">
      <c r="F119" s="207"/>
    </row>
    <row r="120" spans="6:6">
      <c r="F120" s="207"/>
    </row>
    <row r="121" spans="6:6">
      <c r="F121" s="207"/>
    </row>
    <row r="122" spans="6:6">
      <c r="F122" s="207"/>
    </row>
    <row r="123" spans="6:6">
      <c r="F123" s="207"/>
    </row>
    <row r="124" spans="6:6">
      <c r="F124" s="207"/>
    </row>
    <row r="125" spans="6:6">
      <c r="F125" s="207"/>
    </row>
    <row r="126" spans="6:6">
      <c r="F126" s="207"/>
    </row>
    <row r="127" spans="6:6">
      <c r="F127" s="207"/>
    </row>
    <row r="128" spans="6:6">
      <c r="F128" s="207"/>
    </row>
    <row r="129" spans="6:6">
      <c r="F129" s="207"/>
    </row>
    <row r="130" spans="6:6">
      <c r="F130" s="207"/>
    </row>
    <row r="131" spans="6:6">
      <c r="F131" s="207"/>
    </row>
    <row r="132" spans="6:6">
      <c r="F132" s="207"/>
    </row>
    <row r="133" spans="6:6">
      <c r="F133" s="207"/>
    </row>
    <row r="134" spans="6:6">
      <c r="F134" s="207"/>
    </row>
    <row r="135" spans="6:6">
      <c r="F135" s="207"/>
    </row>
    <row r="136" spans="6:6">
      <c r="F136" s="207"/>
    </row>
  </sheetData>
  <mergeCells count="1">
    <mergeCell ref="B8:C8"/>
  </mergeCells>
  <conditionalFormatting sqref="E20:J20 E21:I28">
    <cfRule type="duplicateValues" dxfId="0" priority="322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4">
    <tabColor rgb="FFFFFF00"/>
  </sheetPr>
  <dimension ref="B1:M74"/>
  <sheetViews>
    <sheetView topLeftCell="A3" workbookViewId="0">
      <selection activeCell="I68" sqref="I68"/>
    </sheetView>
  </sheetViews>
  <sheetFormatPr defaultColWidth="8.7109375" defaultRowHeight="15"/>
  <cols>
    <col min="2" max="2" width="38.28515625" customWidth="1"/>
    <col min="4" max="9" width="13" customWidth="1"/>
    <col min="10" max="10" width="9.85546875" bestFit="1" customWidth="1"/>
    <col min="11" max="11" width="10.42578125" bestFit="1" customWidth="1"/>
  </cols>
  <sheetData>
    <row r="1" spans="2:12" ht="15.75" thickBot="1">
      <c r="B1" s="42" t="s">
        <v>54</v>
      </c>
      <c r="C1" s="42" t="s">
        <v>55</v>
      </c>
    </row>
    <row r="2" spans="2:12" ht="15.75">
      <c r="B2" s="43" t="s">
        <v>9</v>
      </c>
      <c r="C2" s="44"/>
      <c r="D2" s="44"/>
      <c r="E2" s="44"/>
      <c r="F2" s="44"/>
      <c r="G2" s="44"/>
      <c r="H2" s="44"/>
      <c r="I2" s="45"/>
    </row>
    <row r="3" spans="2:12" ht="15.75">
      <c r="B3" s="46" t="s">
        <v>10</v>
      </c>
      <c r="C3" s="47" t="s">
        <v>0</v>
      </c>
      <c r="D3" s="47" t="s">
        <v>11</v>
      </c>
      <c r="E3" s="47"/>
      <c r="F3" s="47"/>
      <c r="G3" s="47"/>
      <c r="H3" s="47"/>
      <c r="I3" s="48"/>
    </row>
    <row r="4" spans="2:12" ht="15.75">
      <c r="B4" s="46" t="s">
        <v>56</v>
      </c>
      <c r="C4" s="47"/>
      <c r="D4" s="47"/>
      <c r="E4" s="47"/>
      <c r="F4" s="47"/>
      <c r="G4" s="47"/>
      <c r="H4" s="47"/>
      <c r="I4" s="48"/>
    </row>
    <row r="5" spans="2:12" ht="16.5" thickBot="1">
      <c r="B5" s="49" t="s">
        <v>13</v>
      </c>
      <c r="C5" s="50"/>
      <c r="D5" s="50"/>
      <c r="E5" s="50"/>
      <c r="F5" s="50"/>
      <c r="G5" s="50"/>
      <c r="H5" s="50"/>
      <c r="I5" s="51"/>
    </row>
    <row r="6" spans="2:12" ht="15.75" thickBot="1"/>
    <row r="7" spans="2:12" ht="16.5" thickBot="1">
      <c r="B7" s="52" t="s">
        <v>57</v>
      </c>
      <c r="C7" s="53" t="s">
        <v>16</v>
      </c>
      <c r="D7" s="579">
        <v>2019</v>
      </c>
      <c r="E7" s="580">
        <v>2020</v>
      </c>
      <c r="F7" s="580">
        <v>2021</v>
      </c>
      <c r="G7" s="580">
        <v>2022</v>
      </c>
      <c r="H7" s="580">
        <v>2023</v>
      </c>
      <c r="I7" s="581">
        <v>2024</v>
      </c>
    </row>
    <row r="8" spans="2:12">
      <c r="B8" s="57" t="s">
        <v>58</v>
      </c>
      <c r="C8" s="58" t="s">
        <v>59</v>
      </c>
      <c r="D8" s="584">
        <f>Mercado!D8</f>
        <v>496766.11499999999</v>
      </c>
      <c r="E8" s="584">
        <f>Mercado!E8</f>
        <v>500835.07709999999</v>
      </c>
      <c r="F8" s="584">
        <f>Mercado!F8</f>
        <v>504904.0392</v>
      </c>
      <c r="G8" s="584">
        <f>Mercado!G8</f>
        <v>517501.06199999998</v>
      </c>
      <c r="H8" s="584">
        <f>Mercado!H8</f>
        <v>529856.15399999998</v>
      </c>
      <c r="I8" s="584">
        <f>Mercado!I8</f>
        <v>541067.61510000005</v>
      </c>
    </row>
    <row r="9" spans="2:12">
      <c r="B9" s="59" t="s">
        <v>60</v>
      </c>
      <c r="C9" s="60" t="s">
        <v>59</v>
      </c>
      <c r="D9" s="585">
        <f>D$8*0.0182</f>
        <v>9041.143293000001</v>
      </c>
      <c r="E9" s="585">
        <f t="shared" ref="E9:I9" si="0">E$8*0.0182</f>
        <v>9115.1984032199998</v>
      </c>
      <c r="F9" s="585">
        <f t="shared" si="0"/>
        <v>9189.2535134400005</v>
      </c>
      <c r="G9" s="585">
        <f t="shared" si="0"/>
        <v>9418.5193283999997</v>
      </c>
      <c r="H9" s="585">
        <f t="shared" si="0"/>
        <v>9643.3820028000009</v>
      </c>
      <c r="I9" s="585">
        <f t="shared" si="0"/>
        <v>9847.4305948200017</v>
      </c>
      <c r="K9" s="211"/>
      <c r="L9" s="211"/>
    </row>
    <row r="10" spans="2:12">
      <c r="B10" s="61" t="s">
        <v>61</v>
      </c>
      <c r="C10" s="62" t="s">
        <v>59</v>
      </c>
      <c r="D10" s="585">
        <f>D$8*0.9107</f>
        <v>452404.90093049995</v>
      </c>
      <c r="E10" s="585">
        <f t="shared" ref="E10:I10" si="1">E$8*0.9107</f>
        <v>456110.50471496995</v>
      </c>
      <c r="F10" s="585">
        <f t="shared" si="1"/>
        <v>459816.10849943996</v>
      </c>
      <c r="G10" s="585">
        <f t="shared" si="1"/>
        <v>471288.21716339997</v>
      </c>
      <c r="H10" s="585">
        <f t="shared" si="1"/>
        <v>482539.99944779999</v>
      </c>
      <c r="I10" s="585">
        <f t="shared" si="1"/>
        <v>492750.27707157005</v>
      </c>
      <c r="K10" s="211"/>
      <c r="L10" s="211"/>
    </row>
    <row r="11" spans="2:12">
      <c r="B11" s="61" t="s">
        <v>62</v>
      </c>
      <c r="C11" s="62" t="s">
        <v>59</v>
      </c>
      <c r="D11" s="585">
        <f>D$8*0.0569</f>
        <v>28265.991943499997</v>
      </c>
      <c r="E11" s="585">
        <f t="shared" ref="E11:I11" si="2">E$8*0.0569</f>
        <v>28497.515886990001</v>
      </c>
      <c r="F11" s="585">
        <f t="shared" si="2"/>
        <v>28729.03983048</v>
      </c>
      <c r="G11" s="585">
        <f t="shared" si="2"/>
        <v>29445.810427799999</v>
      </c>
      <c r="H11" s="585">
        <f t="shared" si="2"/>
        <v>30148.8151626</v>
      </c>
      <c r="I11" s="585">
        <f t="shared" si="2"/>
        <v>30786.747299190003</v>
      </c>
      <c r="K11" s="211"/>
      <c r="L11" s="211"/>
    </row>
    <row r="12" spans="2:12">
      <c r="B12" s="61" t="s">
        <v>63</v>
      </c>
      <c r="C12" s="62" t="s">
        <v>59</v>
      </c>
      <c r="D12" s="585">
        <f>D$8*0.0026</f>
        <v>1291.591899</v>
      </c>
      <c r="E12" s="585">
        <f t="shared" ref="E12:I12" si="3">E$8*0.0026</f>
        <v>1302.1712004599999</v>
      </c>
      <c r="F12" s="585">
        <f t="shared" si="3"/>
        <v>1312.75050192</v>
      </c>
      <c r="G12" s="585">
        <f t="shared" si="3"/>
        <v>1345.5027611999999</v>
      </c>
      <c r="H12" s="585">
        <f t="shared" si="3"/>
        <v>1377.6260003999998</v>
      </c>
      <c r="I12" s="585">
        <f t="shared" si="3"/>
        <v>1406.77579926</v>
      </c>
      <c r="K12" s="211"/>
      <c r="L12" s="211"/>
    </row>
    <row r="13" spans="2:12" ht="15.75" thickBot="1">
      <c r="B13" s="63" t="s">
        <v>64</v>
      </c>
      <c r="C13" s="64" t="s">
        <v>59</v>
      </c>
      <c r="D13" s="585">
        <f>D$8*0.0116</f>
        <v>5762.4869339999996</v>
      </c>
      <c r="E13" s="585">
        <f t="shared" ref="E13:I13" si="4">E$8*0.0116</f>
        <v>5809.6868943599993</v>
      </c>
      <c r="F13" s="585">
        <f t="shared" si="4"/>
        <v>5856.88685472</v>
      </c>
      <c r="G13" s="585">
        <f t="shared" si="4"/>
        <v>6003.0123191999992</v>
      </c>
      <c r="H13" s="585">
        <f t="shared" si="4"/>
        <v>6146.3313863999992</v>
      </c>
      <c r="I13" s="585">
        <f t="shared" si="4"/>
        <v>6276.3843351599999</v>
      </c>
      <c r="K13" s="211"/>
      <c r="L13" s="211"/>
    </row>
    <row r="14" spans="2:12">
      <c r="B14" s="57" t="s">
        <v>65</v>
      </c>
      <c r="C14" s="65" t="s">
        <v>59</v>
      </c>
      <c r="D14" s="584">
        <v>219222</v>
      </c>
      <c r="E14" s="584">
        <v>247938</v>
      </c>
      <c r="F14" s="584">
        <v>278460</v>
      </c>
      <c r="G14" s="584">
        <v>297878</v>
      </c>
      <c r="H14" s="584">
        <v>297708</v>
      </c>
      <c r="I14" s="584">
        <f>H14*1.03</f>
        <v>306639.24</v>
      </c>
    </row>
    <row r="15" spans="2:12">
      <c r="B15" s="59" t="s">
        <v>60</v>
      </c>
      <c r="C15" s="60" t="s">
        <v>59</v>
      </c>
      <c r="D15" s="585">
        <f>D$14*0.0146</f>
        <v>3200.6412</v>
      </c>
      <c r="E15" s="585">
        <f t="shared" ref="E15:I15" si="5">E$14*0.0146</f>
        <v>3619.8948</v>
      </c>
      <c r="F15" s="585">
        <f t="shared" si="5"/>
        <v>4065.5160000000001</v>
      </c>
      <c r="G15" s="585">
        <f t="shared" si="5"/>
        <v>4349.0187999999998</v>
      </c>
      <c r="H15" s="585">
        <f t="shared" si="5"/>
        <v>4346.5367999999999</v>
      </c>
      <c r="I15" s="585">
        <f t="shared" si="5"/>
        <v>4476.9329040000002</v>
      </c>
      <c r="K15" s="211"/>
      <c r="L15" s="211"/>
    </row>
    <row r="16" spans="2:12">
      <c r="B16" s="61" t="s">
        <v>61</v>
      </c>
      <c r="C16" s="62" t="s">
        <v>59</v>
      </c>
      <c r="D16" s="585">
        <f>D$14*0.8752</f>
        <v>191863.0944</v>
      </c>
      <c r="E16" s="585">
        <f t="shared" ref="E16:I16" si="6">E$14*0.8752</f>
        <v>216995.3376</v>
      </c>
      <c r="F16" s="585">
        <f t="shared" si="6"/>
        <v>243708.19199999998</v>
      </c>
      <c r="G16" s="585">
        <f t="shared" si="6"/>
        <v>260702.82559999998</v>
      </c>
      <c r="H16" s="585">
        <f t="shared" si="6"/>
        <v>260554.0416</v>
      </c>
      <c r="I16" s="585">
        <f t="shared" si="6"/>
        <v>268370.66284800001</v>
      </c>
      <c r="K16" s="211"/>
      <c r="L16" s="211"/>
    </row>
    <row r="17" spans="2:12">
      <c r="B17" s="61" t="s">
        <v>62</v>
      </c>
      <c r="C17" s="62" t="s">
        <v>59</v>
      </c>
      <c r="D17" s="585">
        <f>D$14*0.0984</f>
        <v>21571.444800000001</v>
      </c>
      <c r="E17" s="585">
        <f t="shared" ref="E17:I17" si="7">E$14*0.0984</f>
        <v>24397.099200000001</v>
      </c>
      <c r="F17" s="585">
        <f t="shared" si="7"/>
        <v>27400.464</v>
      </c>
      <c r="G17" s="585">
        <f t="shared" si="7"/>
        <v>29311.195200000002</v>
      </c>
      <c r="H17" s="585">
        <f t="shared" si="7"/>
        <v>29294.467199999999</v>
      </c>
      <c r="I17" s="585">
        <f t="shared" si="7"/>
        <v>30173.301216</v>
      </c>
      <c r="K17" s="211"/>
      <c r="L17" s="211"/>
    </row>
    <row r="18" spans="2:12">
      <c r="B18" s="61" t="s">
        <v>63</v>
      </c>
      <c r="C18" s="62" t="s">
        <v>59</v>
      </c>
      <c r="D18" s="585">
        <f>D$14*0.0013</f>
        <v>284.98859999999996</v>
      </c>
      <c r="E18" s="585">
        <f t="shared" ref="E18:I18" si="8">E$14*0.0013</f>
        <v>322.31939999999997</v>
      </c>
      <c r="F18" s="585">
        <f t="shared" si="8"/>
        <v>361.99799999999999</v>
      </c>
      <c r="G18" s="585">
        <f t="shared" si="8"/>
        <v>387.2414</v>
      </c>
      <c r="H18" s="585">
        <f t="shared" si="8"/>
        <v>387.0204</v>
      </c>
      <c r="I18" s="585">
        <f t="shared" si="8"/>
        <v>398.63101199999994</v>
      </c>
      <c r="K18" s="211"/>
      <c r="L18" s="211"/>
    </row>
    <row r="19" spans="2:12" ht="15.75" thickBot="1">
      <c r="B19" s="63" t="s">
        <v>64</v>
      </c>
      <c r="C19" s="64" t="s">
        <v>59</v>
      </c>
      <c r="D19" s="585">
        <f>D$14*0.0105</f>
        <v>2301.8310000000001</v>
      </c>
      <c r="E19" s="585">
        <f t="shared" ref="E19:I19" si="9">E$14*0.0105</f>
        <v>2603.3490000000002</v>
      </c>
      <c r="F19" s="585">
        <f t="shared" si="9"/>
        <v>2923.8300000000004</v>
      </c>
      <c r="G19" s="585">
        <f t="shared" si="9"/>
        <v>3127.7190000000001</v>
      </c>
      <c r="H19" s="585">
        <f t="shared" si="9"/>
        <v>3125.9340000000002</v>
      </c>
      <c r="I19" s="585">
        <f t="shared" si="9"/>
        <v>3219.7120199999999</v>
      </c>
      <c r="K19" s="211"/>
      <c r="L19" s="211"/>
    </row>
    <row r="20" spans="2:12">
      <c r="B20" s="57" t="s">
        <v>66</v>
      </c>
      <c r="C20" s="58" t="s">
        <v>59</v>
      </c>
      <c r="D20" s="584">
        <f>Mercado!D24</f>
        <v>537975</v>
      </c>
      <c r="E20" s="584">
        <f>Mercado!E24</f>
        <v>542381.5</v>
      </c>
      <c r="F20" s="584">
        <f>Mercado!F24</f>
        <v>546788</v>
      </c>
      <c r="G20" s="584">
        <f>Mercado!G24</f>
        <v>560430</v>
      </c>
      <c r="H20" s="584">
        <f>Mercado!H24</f>
        <v>573810</v>
      </c>
      <c r="I20" s="584">
        <f>Mercado!I24</f>
        <v>585951.5</v>
      </c>
    </row>
    <row r="21" spans="2:12">
      <c r="B21" s="59" t="s">
        <v>60</v>
      </c>
      <c r="C21" s="60" t="s">
        <v>59</v>
      </c>
      <c r="D21" s="585">
        <f>D$20*0.0182</f>
        <v>9791.1450000000004</v>
      </c>
      <c r="E21" s="585">
        <f t="shared" ref="E21:I21" si="10">E$20*0.0182</f>
        <v>9871.3433000000005</v>
      </c>
      <c r="F21" s="585">
        <f t="shared" si="10"/>
        <v>9951.5416000000005</v>
      </c>
      <c r="G21" s="585">
        <f t="shared" si="10"/>
        <v>10199.826000000001</v>
      </c>
      <c r="H21" s="585">
        <f t="shared" si="10"/>
        <v>10443.342000000001</v>
      </c>
      <c r="I21" s="585">
        <f t="shared" si="10"/>
        <v>10664.317300000001</v>
      </c>
      <c r="K21" s="211"/>
    </row>
    <row r="22" spans="2:12">
      <c r="B22" s="61" t="s">
        <v>61</v>
      </c>
      <c r="C22" s="62" t="s">
        <v>59</v>
      </c>
      <c r="D22" s="585">
        <f>D$20*0.9107</f>
        <v>489933.83249999996</v>
      </c>
      <c r="E22" s="585">
        <f t="shared" ref="E22:I22" si="11">E$20*0.9107</f>
        <v>493946.83204999997</v>
      </c>
      <c r="F22" s="585">
        <f t="shared" si="11"/>
        <v>497959.83159999998</v>
      </c>
      <c r="G22" s="585">
        <f t="shared" si="11"/>
        <v>510383.60099999997</v>
      </c>
      <c r="H22" s="585">
        <f t="shared" si="11"/>
        <v>522568.76699999999</v>
      </c>
      <c r="I22" s="585">
        <f t="shared" si="11"/>
        <v>533626.03104999999</v>
      </c>
      <c r="K22" s="211"/>
    </row>
    <row r="23" spans="2:12">
      <c r="B23" s="61" t="s">
        <v>62</v>
      </c>
      <c r="C23" s="62" t="s">
        <v>59</v>
      </c>
      <c r="D23" s="585">
        <f>D$20*0.0569</f>
        <v>30610.7775</v>
      </c>
      <c r="E23" s="585">
        <f t="shared" ref="E23:I23" si="12">E$20*0.0569</f>
        <v>30861.50735</v>
      </c>
      <c r="F23" s="585">
        <f t="shared" si="12"/>
        <v>31112.2372</v>
      </c>
      <c r="G23" s="585">
        <f t="shared" si="12"/>
        <v>31888.467000000001</v>
      </c>
      <c r="H23" s="585">
        <f t="shared" si="12"/>
        <v>32649.789000000001</v>
      </c>
      <c r="I23" s="585">
        <f t="shared" si="12"/>
        <v>33340.640350000001</v>
      </c>
      <c r="K23" s="211"/>
    </row>
    <row r="24" spans="2:12">
      <c r="B24" s="61" t="s">
        <v>63</v>
      </c>
      <c r="C24" s="62" t="s">
        <v>59</v>
      </c>
      <c r="D24" s="585">
        <f>D$20*0.0026</f>
        <v>1398.7349999999999</v>
      </c>
      <c r="E24" s="585">
        <f t="shared" ref="E24:I24" si="13">E$20*0.0026</f>
        <v>1410.1919</v>
      </c>
      <c r="F24" s="585">
        <f t="shared" si="13"/>
        <v>1421.6487999999999</v>
      </c>
      <c r="G24" s="585">
        <f t="shared" si="13"/>
        <v>1457.1179999999999</v>
      </c>
      <c r="H24" s="585">
        <f t="shared" si="13"/>
        <v>1491.9059999999999</v>
      </c>
      <c r="I24" s="585">
        <f t="shared" si="13"/>
        <v>1523.4739</v>
      </c>
      <c r="K24" s="211"/>
    </row>
    <row r="25" spans="2:12" ht="15.75" thickBot="1">
      <c r="B25" s="63" t="s">
        <v>64</v>
      </c>
      <c r="C25" s="64" t="s">
        <v>59</v>
      </c>
      <c r="D25" s="585">
        <f>D$20*0.0116</f>
        <v>6240.5099999999993</v>
      </c>
      <c r="E25" s="585">
        <f t="shared" ref="E25:I25" si="14">E$20*0.0116</f>
        <v>6291.6253999999999</v>
      </c>
      <c r="F25" s="585">
        <f t="shared" si="14"/>
        <v>6342.7407999999996</v>
      </c>
      <c r="G25" s="585">
        <f t="shared" si="14"/>
        <v>6500.9879999999994</v>
      </c>
      <c r="H25" s="585">
        <f t="shared" si="14"/>
        <v>6656.1959999999999</v>
      </c>
      <c r="I25" s="585">
        <f t="shared" si="14"/>
        <v>6797.0373999999993</v>
      </c>
      <c r="K25" s="211"/>
    </row>
    <row r="26" spans="2:12">
      <c r="B26" s="57" t="s">
        <v>67</v>
      </c>
      <c r="C26" s="65" t="s">
        <v>59</v>
      </c>
      <c r="D26" s="584">
        <v>220942</v>
      </c>
      <c r="E26" s="584">
        <v>248010</v>
      </c>
      <c r="F26" s="584">
        <v>279343</v>
      </c>
      <c r="G26" s="584">
        <v>298565</v>
      </c>
      <c r="H26" s="584">
        <v>326488</v>
      </c>
      <c r="I26" s="584">
        <f>H26*1.03</f>
        <v>336282.64</v>
      </c>
    </row>
    <row r="27" spans="2:12">
      <c r="B27" s="59" t="s">
        <v>60</v>
      </c>
      <c r="C27" s="60" t="s">
        <v>59</v>
      </c>
      <c r="D27" s="585">
        <f>D$26*0.0146</f>
        <v>3225.7532000000001</v>
      </c>
      <c r="E27" s="585">
        <f t="shared" ref="E27:I27" si="15">E$26*0.0146</f>
        <v>3620.9459999999999</v>
      </c>
      <c r="F27" s="585">
        <f t="shared" si="15"/>
        <v>4078.4078</v>
      </c>
      <c r="G27" s="585">
        <f t="shared" si="15"/>
        <v>4359.049</v>
      </c>
      <c r="H27" s="585">
        <f t="shared" si="15"/>
        <v>4766.7248</v>
      </c>
      <c r="I27" s="585">
        <f t="shared" si="15"/>
        <v>4909.7265440000001</v>
      </c>
      <c r="K27" s="211"/>
      <c r="L27" s="211"/>
    </row>
    <row r="28" spans="2:12">
      <c r="B28" s="61" t="s">
        <v>61</v>
      </c>
      <c r="C28" s="62" t="s">
        <v>59</v>
      </c>
      <c r="D28" s="585">
        <f>D$26*0.8752</f>
        <v>193368.43839999998</v>
      </c>
      <c r="E28" s="585">
        <f t="shared" ref="E28:I28" si="16">E$26*0.8752</f>
        <v>217058.35199999998</v>
      </c>
      <c r="F28" s="585">
        <f t="shared" si="16"/>
        <v>244480.99359999999</v>
      </c>
      <c r="G28" s="585">
        <f t="shared" si="16"/>
        <v>261304.08799999999</v>
      </c>
      <c r="H28" s="585">
        <f t="shared" si="16"/>
        <v>285742.29759999999</v>
      </c>
      <c r="I28" s="585">
        <f t="shared" si="16"/>
        <v>294314.566528</v>
      </c>
      <c r="K28" s="211"/>
      <c r="L28" s="211"/>
    </row>
    <row r="29" spans="2:12">
      <c r="B29" s="61" t="s">
        <v>62</v>
      </c>
      <c r="C29" s="62" t="s">
        <v>59</v>
      </c>
      <c r="D29" s="585">
        <f>D$26*0.0984</f>
        <v>21740.692800000001</v>
      </c>
      <c r="E29" s="585">
        <f t="shared" ref="E29:I29" si="17">E$26*0.0984</f>
        <v>24404.184000000001</v>
      </c>
      <c r="F29" s="585">
        <f t="shared" si="17"/>
        <v>27487.351200000001</v>
      </c>
      <c r="G29" s="585">
        <f t="shared" si="17"/>
        <v>29378.796000000002</v>
      </c>
      <c r="H29" s="585">
        <f t="shared" si="17"/>
        <v>32126.4192</v>
      </c>
      <c r="I29" s="585">
        <f t="shared" si="17"/>
        <v>33090.211776000004</v>
      </c>
      <c r="K29" s="211"/>
      <c r="L29" s="211"/>
    </row>
    <row r="30" spans="2:12">
      <c r="B30" s="61" t="s">
        <v>63</v>
      </c>
      <c r="C30" s="62" t="s">
        <v>59</v>
      </c>
      <c r="D30" s="585">
        <f>D$26*0.0013</f>
        <v>287.22460000000001</v>
      </c>
      <c r="E30" s="585">
        <f t="shared" ref="E30:I30" si="18">E$26*0.0013</f>
        <v>322.41300000000001</v>
      </c>
      <c r="F30" s="585">
        <f t="shared" si="18"/>
        <v>363.14589999999998</v>
      </c>
      <c r="G30" s="585">
        <f t="shared" si="18"/>
        <v>388.1345</v>
      </c>
      <c r="H30" s="585">
        <f t="shared" si="18"/>
        <v>424.43439999999998</v>
      </c>
      <c r="I30" s="585">
        <f t="shared" si="18"/>
        <v>437.16743200000002</v>
      </c>
      <c r="K30" s="211"/>
      <c r="L30" s="211"/>
    </row>
    <row r="31" spans="2:12" ht="15.75" thickBot="1">
      <c r="B31" s="63" t="s">
        <v>64</v>
      </c>
      <c r="C31" s="64" t="s">
        <v>59</v>
      </c>
      <c r="D31" s="585">
        <f>D$26*0.0105</f>
        <v>2319.8910000000001</v>
      </c>
      <c r="E31" s="585">
        <f t="shared" ref="E31:I31" si="19">E$26*0.0105</f>
        <v>2604.105</v>
      </c>
      <c r="F31" s="585">
        <f t="shared" si="19"/>
        <v>2933.1015000000002</v>
      </c>
      <c r="G31" s="585">
        <f t="shared" si="19"/>
        <v>3134.9325000000003</v>
      </c>
      <c r="H31" s="585">
        <f t="shared" si="19"/>
        <v>3428.1240000000003</v>
      </c>
      <c r="I31" s="585">
        <f t="shared" si="19"/>
        <v>3530.9677200000006</v>
      </c>
      <c r="K31" s="211"/>
      <c r="L31" s="211"/>
    </row>
    <row r="32" spans="2:12">
      <c r="B32" s="57" t="s">
        <v>68</v>
      </c>
      <c r="C32" s="65" t="s">
        <v>59</v>
      </c>
      <c r="D32" s="584">
        <f>Mercado!D11</f>
        <v>471886.94880000001</v>
      </c>
      <c r="E32" s="584">
        <f>Mercado!E11</f>
        <v>478458.78659999999</v>
      </c>
      <c r="F32" s="584">
        <f>Mercado!F11</f>
        <v>485030.62439999997</v>
      </c>
      <c r="G32" s="584">
        <f>Mercado!G11</f>
        <v>497189.03220000002</v>
      </c>
      <c r="H32" s="584">
        <f>Mercado!H11</f>
        <v>504624.9085714285</v>
      </c>
      <c r="I32" s="584">
        <f>Mercado!I11</f>
        <v>515302.49057142861</v>
      </c>
      <c r="L32" s="40"/>
    </row>
    <row r="33" spans="2:13">
      <c r="B33" s="59" t="s">
        <v>60</v>
      </c>
      <c r="C33" s="60" t="s">
        <v>59</v>
      </c>
      <c r="D33" s="585">
        <f>D$32*0.0203</f>
        <v>9579.3050606399993</v>
      </c>
      <c r="E33" s="585">
        <f t="shared" ref="E33:I33" si="20">E$32*0.0203</f>
        <v>9712.713367979999</v>
      </c>
      <c r="F33" s="585">
        <f t="shared" si="20"/>
        <v>9846.1216753199988</v>
      </c>
      <c r="G33" s="585">
        <f t="shared" si="20"/>
        <v>10092.93735366</v>
      </c>
      <c r="H33" s="585">
        <f t="shared" si="20"/>
        <v>10243.885643999998</v>
      </c>
      <c r="I33" s="585">
        <f t="shared" si="20"/>
        <v>10460.6405586</v>
      </c>
      <c r="K33" s="211"/>
      <c r="L33" s="211"/>
      <c r="M33" s="26"/>
    </row>
    <row r="34" spans="2:13">
      <c r="B34" s="61" t="s">
        <v>61</v>
      </c>
      <c r="C34" s="62" t="s">
        <v>59</v>
      </c>
      <c r="D34" s="585">
        <f>D$32*0.9103</f>
        <v>429558.68949264003</v>
      </c>
      <c r="E34" s="585">
        <f t="shared" ref="E34:I34" si="21">E$32*0.9103</f>
        <v>435541.03344198002</v>
      </c>
      <c r="F34" s="585">
        <f t="shared" si="21"/>
        <v>441523.37739131995</v>
      </c>
      <c r="G34" s="585">
        <f t="shared" si="21"/>
        <v>452591.17601166002</v>
      </c>
      <c r="H34" s="585">
        <f t="shared" si="21"/>
        <v>459360.05427257135</v>
      </c>
      <c r="I34" s="585">
        <f t="shared" si="21"/>
        <v>469079.85716717149</v>
      </c>
      <c r="K34" s="211"/>
      <c r="L34" s="211"/>
    </row>
    <row r="35" spans="2:13">
      <c r="B35" s="61" t="s">
        <v>62</v>
      </c>
      <c r="C35" s="62" t="s">
        <v>59</v>
      </c>
      <c r="D35" s="585">
        <f>D$32*0.055</f>
        <v>25953.782184</v>
      </c>
      <c r="E35" s="585">
        <f t="shared" ref="E35:I35" si="22">E$32*0.055</f>
        <v>26315.233262999998</v>
      </c>
      <c r="F35" s="585">
        <f t="shared" si="22"/>
        <v>26676.684341999997</v>
      </c>
      <c r="G35" s="585">
        <f t="shared" si="22"/>
        <v>27345.396771</v>
      </c>
      <c r="H35" s="585">
        <f t="shared" si="22"/>
        <v>27754.369971428569</v>
      </c>
      <c r="I35" s="585">
        <f t="shared" si="22"/>
        <v>28341.636981428575</v>
      </c>
      <c r="K35" s="211"/>
      <c r="L35" s="211"/>
    </row>
    <row r="36" spans="2:13">
      <c r="B36" s="61" t="s">
        <v>63</v>
      </c>
      <c r="C36" s="62" t="s">
        <v>59</v>
      </c>
      <c r="D36" s="585">
        <f>D$32*0.0027</f>
        <v>1274.0947617600002</v>
      </c>
      <c r="E36" s="585">
        <f t="shared" ref="E36:I36" si="23">E$32*0.0027</f>
        <v>1291.83872382</v>
      </c>
      <c r="F36" s="585">
        <f t="shared" si="23"/>
        <v>1309.5826858800001</v>
      </c>
      <c r="G36" s="585">
        <f t="shared" si="23"/>
        <v>1342.4103869400001</v>
      </c>
      <c r="H36" s="585">
        <f t="shared" si="23"/>
        <v>1362.4872531428571</v>
      </c>
      <c r="I36" s="585">
        <f t="shared" si="23"/>
        <v>1391.3167245428574</v>
      </c>
      <c r="K36" s="211"/>
      <c r="L36" s="211"/>
    </row>
    <row r="37" spans="2:13" ht="15.75" thickBot="1">
      <c r="B37" s="63" t="s">
        <v>64</v>
      </c>
      <c r="C37" s="64" t="s">
        <v>59</v>
      </c>
      <c r="D37" s="585">
        <f>D$32*0.0117</f>
        <v>5521.0773009600007</v>
      </c>
      <c r="E37" s="585">
        <f t="shared" ref="E37:I37" si="24">E$32*0.0117</f>
        <v>5597.96780322</v>
      </c>
      <c r="F37" s="585">
        <f t="shared" si="24"/>
        <v>5674.8583054800001</v>
      </c>
      <c r="G37" s="585">
        <f t="shared" si="24"/>
        <v>5817.1116767400008</v>
      </c>
      <c r="H37" s="585">
        <f t="shared" si="24"/>
        <v>5904.1114302857141</v>
      </c>
      <c r="I37" s="585">
        <f t="shared" si="24"/>
        <v>6029.0391396857149</v>
      </c>
      <c r="K37" s="211"/>
      <c r="L37" s="211"/>
    </row>
    <row r="38" spans="2:13">
      <c r="B38" s="57" t="s">
        <v>69</v>
      </c>
      <c r="C38" s="65" t="s">
        <v>59</v>
      </c>
      <c r="D38" s="584">
        <v>201693</v>
      </c>
      <c r="E38" s="584">
        <v>229498</v>
      </c>
      <c r="F38" s="584">
        <v>259535</v>
      </c>
      <c r="G38" s="584">
        <v>278088</v>
      </c>
      <c r="H38" s="584">
        <v>305844</v>
      </c>
      <c r="I38" s="584">
        <f>H38*1.03</f>
        <v>315019.32</v>
      </c>
    </row>
    <row r="39" spans="2:13">
      <c r="B39" s="59" t="s">
        <v>60</v>
      </c>
      <c r="C39" s="60" t="s">
        <v>59</v>
      </c>
      <c r="D39" s="585">
        <f>D$38*0.0158</f>
        <v>3186.7494000000002</v>
      </c>
      <c r="E39" s="585">
        <f t="shared" ref="E39:I39" si="25">E$38*0.0158</f>
        <v>3626.0684000000006</v>
      </c>
      <c r="F39" s="585">
        <f t="shared" si="25"/>
        <v>4100.6530000000002</v>
      </c>
      <c r="G39" s="585">
        <f t="shared" si="25"/>
        <v>4393.7904000000008</v>
      </c>
      <c r="H39" s="585">
        <f t="shared" si="25"/>
        <v>4832.3352000000004</v>
      </c>
      <c r="I39" s="585">
        <f t="shared" si="25"/>
        <v>4977.3052560000006</v>
      </c>
      <c r="K39" s="211"/>
      <c r="L39" s="211"/>
    </row>
    <row r="40" spans="2:13">
      <c r="B40" s="61" t="s">
        <v>61</v>
      </c>
      <c r="C40" s="62" t="s">
        <v>59</v>
      </c>
      <c r="D40" s="585">
        <f>D$38*0.8753</f>
        <v>176541.8829</v>
      </c>
      <c r="E40" s="585">
        <f t="shared" ref="E40:I40" si="26">E$38*0.8753</f>
        <v>200879.59940000001</v>
      </c>
      <c r="F40" s="585">
        <f t="shared" si="26"/>
        <v>227170.98549999998</v>
      </c>
      <c r="G40" s="585">
        <f t="shared" si="26"/>
        <v>243410.4264</v>
      </c>
      <c r="H40" s="585">
        <f t="shared" si="26"/>
        <v>267705.25319999998</v>
      </c>
      <c r="I40" s="585">
        <f t="shared" si="26"/>
        <v>275736.41079599998</v>
      </c>
      <c r="K40" s="211"/>
      <c r="L40" s="211"/>
    </row>
    <row r="41" spans="2:13">
      <c r="B41" s="61" t="s">
        <v>62</v>
      </c>
      <c r="C41" s="62" t="s">
        <v>59</v>
      </c>
      <c r="D41" s="585">
        <f>D$38*0.096</f>
        <v>19362.528000000002</v>
      </c>
      <c r="E41" s="585">
        <f t="shared" ref="E41:I41" si="27">E$38*0.096</f>
        <v>22031.808000000001</v>
      </c>
      <c r="F41" s="585">
        <f t="shared" si="27"/>
        <v>24915.360000000001</v>
      </c>
      <c r="G41" s="585">
        <f t="shared" si="27"/>
        <v>26696.448</v>
      </c>
      <c r="H41" s="585">
        <f t="shared" si="27"/>
        <v>29361.024000000001</v>
      </c>
      <c r="I41" s="585">
        <f t="shared" si="27"/>
        <v>30241.854720000003</v>
      </c>
      <c r="K41" s="211"/>
      <c r="L41" s="211"/>
    </row>
    <row r="42" spans="2:13">
      <c r="B42" s="61" t="s">
        <v>63</v>
      </c>
      <c r="C42" s="62" t="s">
        <v>59</v>
      </c>
      <c r="D42" s="585">
        <f>D$38*0.0014</f>
        <v>282.37020000000001</v>
      </c>
      <c r="E42" s="585">
        <f t="shared" ref="E42:I42" si="28">E$38*0.0014</f>
        <v>321.29719999999998</v>
      </c>
      <c r="F42" s="585">
        <f t="shared" si="28"/>
        <v>363.34899999999999</v>
      </c>
      <c r="G42" s="585">
        <f t="shared" si="28"/>
        <v>389.32319999999999</v>
      </c>
      <c r="H42" s="585">
        <f t="shared" si="28"/>
        <v>428.1816</v>
      </c>
      <c r="I42" s="585">
        <f t="shared" si="28"/>
        <v>441.02704799999998</v>
      </c>
      <c r="K42" s="211"/>
      <c r="L42" s="211"/>
    </row>
    <row r="43" spans="2:13" ht="15.75" thickBot="1">
      <c r="B43" s="63" t="s">
        <v>64</v>
      </c>
      <c r="C43" s="64" t="s">
        <v>59</v>
      </c>
      <c r="D43" s="585">
        <f>D$38*0.0115</f>
        <v>2319.4695000000002</v>
      </c>
      <c r="E43" s="585">
        <f t="shared" ref="E43:I43" si="29">E$38*0.0115</f>
        <v>2639.2269999999999</v>
      </c>
      <c r="F43" s="585">
        <f t="shared" si="29"/>
        <v>2984.6525000000001</v>
      </c>
      <c r="G43" s="585">
        <f t="shared" si="29"/>
        <v>3198.0120000000002</v>
      </c>
      <c r="H43" s="585">
        <f t="shared" si="29"/>
        <v>3517.2060000000001</v>
      </c>
      <c r="I43" s="585">
        <f t="shared" si="29"/>
        <v>3622.7221800000002</v>
      </c>
      <c r="K43" s="211"/>
      <c r="L43" s="211"/>
    </row>
    <row r="44" spans="2:13">
      <c r="B44" s="57" t="s">
        <v>70</v>
      </c>
      <c r="C44" s="65" t="s">
        <v>59</v>
      </c>
      <c r="D44" s="584">
        <f>Mercado!D26</f>
        <v>511032</v>
      </c>
      <c r="E44" s="584">
        <f>Mercado!E26</f>
        <v>518149</v>
      </c>
      <c r="F44" s="584">
        <f>Mercado!F26</f>
        <v>525266</v>
      </c>
      <c r="G44" s="584">
        <f>Mercado!G26</f>
        <v>538433</v>
      </c>
      <c r="H44" s="584">
        <f>Mercado!H26</f>
        <v>546485.7142857142</v>
      </c>
      <c r="I44" s="584">
        <f>Mercado!I26</f>
        <v>558049.04761904769</v>
      </c>
    </row>
    <row r="45" spans="2:13">
      <c r="B45" s="59" t="s">
        <v>60</v>
      </c>
      <c r="C45" s="60" t="s">
        <v>59</v>
      </c>
      <c r="D45" s="585">
        <f>D$44*0.0203</f>
        <v>10373.9496</v>
      </c>
      <c r="E45" s="585">
        <f t="shared" ref="E45:I45" si="30">E$44*0.0203</f>
        <v>10518.4247</v>
      </c>
      <c r="F45" s="585">
        <f t="shared" si="30"/>
        <v>10662.899799999999</v>
      </c>
      <c r="G45" s="585">
        <f t="shared" si="30"/>
        <v>10930.189899999999</v>
      </c>
      <c r="H45" s="585">
        <f t="shared" si="30"/>
        <v>11093.659999999998</v>
      </c>
      <c r="I45" s="585">
        <f t="shared" si="30"/>
        <v>11328.395666666667</v>
      </c>
      <c r="K45" s="211"/>
      <c r="L45" s="211"/>
    </row>
    <row r="46" spans="2:13">
      <c r="B46" s="61" t="s">
        <v>61</v>
      </c>
      <c r="C46" s="62" t="s">
        <v>59</v>
      </c>
      <c r="D46" s="585">
        <f>D$44*0.9103</f>
        <v>465192.42959999997</v>
      </c>
      <c r="E46" s="585">
        <f t="shared" ref="E46:I46" si="31">E$44*0.9103</f>
        <v>471671.03470000002</v>
      </c>
      <c r="F46" s="585">
        <f t="shared" si="31"/>
        <v>478149.6398</v>
      </c>
      <c r="G46" s="585">
        <f t="shared" si="31"/>
        <v>490135.55989999999</v>
      </c>
      <c r="H46" s="585">
        <f t="shared" si="31"/>
        <v>497465.94571428566</v>
      </c>
      <c r="I46" s="585">
        <f t="shared" si="31"/>
        <v>507992.04804761912</v>
      </c>
      <c r="K46" s="211"/>
      <c r="L46" s="211"/>
    </row>
    <row r="47" spans="2:13">
      <c r="B47" s="61" t="s">
        <v>62</v>
      </c>
      <c r="C47" s="62" t="s">
        <v>59</v>
      </c>
      <c r="D47" s="585">
        <f>D$44*0.055</f>
        <v>28106.76</v>
      </c>
      <c r="E47" s="585">
        <f t="shared" ref="E47:I47" si="32">E$44*0.055</f>
        <v>28498.195</v>
      </c>
      <c r="F47" s="585">
        <f t="shared" si="32"/>
        <v>28889.63</v>
      </c>
      <c r="G47" s="585">
        <f t="shared" si="32"/>
        <v>29613.814999999999</v>
      </c>
      <c r="H47" s="585">
        <f t="shared" si="32"/>
        <v>30056.714285714283</v>
      </c>
      <c r="I47" s="585">
        <f t="shared" si="32"/>
        <v>30692.697619047623</v>
      </c>
      <c r="K47" s="211"/>
      <c r="L47" s="211"/>
    </row>
    <row r="48" spans="2:13">
      <c r="B48" s="61" t="s">
        <v>63</v>
      </c>
      <c r="C48" s="62" t="s">
        <v>59</v>
      </c>
      <c r="D48" s="585">
        <f>D$44*0.0027</f>
        <v>1379.7864000000002</v>
      </c>
      <c r="E48" s="585">
        <f t="shared" ref="E48:I48" si="33">E$44*0.0027</f>
        <v>1399.0023000000001</v>
      </c>
      <c r="F48" s="585">
        <f t="shared" si="33"/>
        <v>1418.2182</v>
      </c>
      <c r="G48" s="585">
        <f t="shared" si="33"/>
        <v>1453.7691</v>
      </c>
      <c r="H48" s="585">
        <f t="shared" si="33"/>
        <v>1475.5114285714285</v>
      </c>
      <c r="I48" s="585">
        <f t="shared" si="33"/>
        <v>1506.732428571429</v>
      </c>
      <c r="K48" s="211"/>
      <c r="L48" s="211"/>
    </row>
    <row r="49" spans="2:12" ht="15.75" thickBot="1">
      <c r="B49" s="63" t="s">
        <v>64</v>
      </c>
      <c r="C49" s="64" t="s">
        <v>59</v>
      </c>
      <c r="D49" s="585">
        <f>D$44*0.0117</f>
        <v>5979.0744000000004</v>
      </c>
      <c r="E49" s="585">
        <f t="shared" ref="E49:I49" si="34">E$44*0.0117</f>
        <v>6062.3433000000005</v>
      </c>
      <c r="F49" s="585">
        <f t="shared" si="34"/>
        <v>6145.6122000000005</v>
      </c>
      <c r="G49" s="585">
        <f t="shared" si="34"/>
        <v>6299.6661000000004</v>
      </c>
      <c r="H49" s="585">
        <f t="shared" si="34"/>
        <v>6393.8828571428567</v>
      </c>
      <c r="I49" s="585">
        <f t="shared" si="34"/>
        <v>6529.1738571428577</v>
      </c>
      <c r="K49" s="211"/>
      <c r="L49" s="211"/>
    </row>
    <row r="50" spans="2:12">
      <c r="B50" s="57" t="s">
        <v>71</v>
      </c>
      <c r="C50" s="65" t="s">
        <v>59</v>
      </c>
      <c r="D50" s="584">
        <v>220942</v>
      </c>
      <c r="E50" s="584">
        <v>248010</v>
      </c>
      <c r="F50" s="584">
        <v>279343</v>
      </c>
      <c r="G50" s="584">
        <v>298565</v>
      </c>
      <c r="H50" s="584">
        <v>327725</v>
      </c>
      <c r="I50" s="584">
        <f>H50*1.03</f>
        <v>337556.75</v>
      </c>
    </row>
    <row r="51" spans="2:12">
      <c r="B51" s="59" t="s">
        <v>60</v>
      </c>
      <c r="C51" s="60" t="s">
        <v>59</v>
      </c>
      <c r="D51" s="585">
        <f>D$50*0.0158</f>
        <v>3490.8836000000001</v>
      </c>
      <c r="E51" s="585">
        <f t="shared" ref="E51:I51" si="35">E$50*0.0158</f>
        <v>3918.5580000000004</v>
      </c>
      <c r="F51" s="585">
        <f t="shared" si="35"/>
        <v>4413.6194000000005</v>
      </c>
      <c r="G51" s="585">
        <f t="shared" si="35"/>
        <v>4717.3270000000002</v>
      </c>
      <c r="H51" s="585">
        <f t="shared" si="35"/>
        <v>5178.0550000000003</v>
      </c>
      <c r="I51" s="585">
        <f t="shared" si="35"/>
        <v>5333.3966500000006</v>
      </c>
      <c r="K51" s="211"/>
    </row>
    <row r="52" spans="2:12">
      <c r="B52" s="61" t="s">
        <v>61</v>
      </c>
      <c r="C52" s="62" t="s">
        <v>59</v>
      </c>
      <c r="D52" s="585">
        <f>D$50*0.8753</f>
        <v>193390.53260000001</v>
      </c>
      <c r="E52" s="585">
        <f t="shared" ref="E52:I52" si="36">E$50*0.8753</f>
        <v>217083.15299999999</v>
      </c>
      <c r="F52" s="585">
        <f t="shared" si="36"/>
        <v>244508.92789999998</v>
      </c>
      <c r="G52" s="585">
        <f t="shared" si="36"/>
        <v>261333.94449999998</v>
      </c>
      <c r="H52" s="585">
        <f t="shared" si="36"/>
        <v>286857.6925</v>
      </c>
      <c r="I52" s="585">
        <f t="shared" si="36"/>
        <v>295463.42327500001</v>
      </c>
      <c r="K52" s="211"/>
    </row>
    <row r="53" spans="2:12">
      <c r="B53" s="61" t="s">
        <v>62</v>
      </c>
      <c r="C53" s="62" t="s">
        <v>59</v>
      </c>
      <c r="D53" s="585">
        <f>D$50*0.096</f>
        <v>21210.432000000001</v>
      </c>
      <c r="E53" s="585">
        <f t="shared" ref="E53:I53" si="37">E$50*0.096</f>
        <v>23808.959999999999</v>
      </c>
      <c r="F53" s="585">
        <f t="shared" si="37"/>
        <v>26816.928</v>
      </c>
      <c r="G53" s="585">
        <f t="shared" si="37"/>
        <v>28662.240000000002</v>
      </c>
      <c r="H53" s="585">
        <f t="shared" si="37"/>
        <v>31461.600000000002</v>
      </c>
      <c r="I53" s="585">
        <f t="shared" si="37"/>
        <v>32405.448</v>
      </c>
      <c r="K53" s="211"/>
    </row>
    <row r="54" spans="2:12">
      <c r="B54" s="61" t="s">
        <v>63</v>
      </c>
      <c r="C54" s="62" t="s">
        <v>59</v>
      </c>
      <c r="D54" s="585">
        <f>D$50*0.0014</f>
        <v>309.31880000000001</v>
      </c>
      <c r="E54" s="585">
        <f t="shared" ref="E54:I54" si="38">E$50*0.0014</f>
        <v>347.214</v>
      </c>
      <c r="F54" s="585">
        <f t="shared" si="38"/>
        <v>391.08019999999999</v>
      </c>
      <c r="G54" s="585">
        <f t="shared" si="38"/>
        <v>417.99099999999999</v>
      </c>
      <c r="H54" s="585">
        <f t="shared" si="38"/>
        <v>458.815</v>
      </c>
      <c r="I54" s="585">
        <f t="shared" si="38"/>
        <v>472.57945000000001</v>
      </c>
      <c r="K54" s="211"/>
    </row>
    <row r="55" spans="2:12" ht="15.75" thickBot="1">
      <c r="B55" s="63" t="s">
        <v>64</v>
      </c>
      <c r="C55" s="64" t="s">
        <v>59</v>
      </c>
      <c r="D55" s="585">
        <f>D$50*0.0115</f>
        <v>2540.8330000000001</v>
      </c>
      <c r="E55" s="585">
        <f t="shared" ref="E55:I55" si="39">E$50*0.0115</f>
        <v>2852.1149999999998</v>
      </c>
      <c r="F55" s="585">
        <f t="shared" si="39"/>
        <v>3212.4445000000001</v>
      </c>
      <c r="G55" s="585">
        <f t="shared" si="39"/>
        <v>3433.4974999999999</v>
      </c>
      <c r="H55" s="585">
        <f t="shared" si="39"/>
        <v>3768.8375000000001</v>
      </c>
      <c r="I55" s="585">
        <f t="shared" si="39"/>
        <v>3881.9026249999997</v>
      </c>
      <c r="K55" s="211"/>
    </row>
    <row r="56" spans="2:12">
      <c r="B56" s="57" t="s">
        <v>72</v>
      </c>
      <c r="C56" s="65" t="s">
        <v>73</v>
      </c>
      <c r="D56" s="584">
        <v>73344349.99999997</v>
      </c>
      <c r="E56" s="584">
        <v>76120570</v>
      </c>
      <c r="F56" s="584">
        <v>77513850.000000015</v>
      </c>
      <c r="G56" s="584">
        <v>77648040.000000015</v>
      </c>
      <c r="H56" s="584">
        <v>83068000</v>
      </c>
      <c r="I56" s="584">
        <f>H56*1.03</f>
        <v>85560040</v>
      </c>
    </row>
    <row r="57" spans="2:12">
      <c r="B57" s="59" t="s">
        <v>60</v>
      </c>
      <c r="C57" s="60" t="s">
        <v>73</v>
      </c>
      <c r="D57" s="585">
        <f>D$56*0.0164</f>
        <v>1202847.3399999996</v>
      </c>
      <c r="E57" s="585">
        <f t="shared" ref="E57:I57" si="40">E$56*0.0164</f>
        <v>1248377.348</v>
      </c>
      <c r="F57" s="585">
        <f t="shared" si="40"/>
        <v>1271227.1400000004</v>
      </c>
      <c r="G57" s="585">
        <f t="shared" si="40"/>
        <v>1273427.8560000004</v>
      </c>
      <c r="H57" s="585">
        <f t="shared" si="40"/>
        <v>1362315.2000000002</v>
      </c>
      <c r="I57" s="585">
        <f t="shared" si="40"/>
        <v>1403184.6560000002</v>
      </c>
      <c r="K57" s="211"/>
      <c r="L57" s="211"/>
    </row>
    <row r="58" spans="2:12">
      <c r="B58" s="61" t="s">
        <v>61</v>
      </c>
      <c r="C58" s="62" t="s">
        <v>73</v>
      </c>
      <c r="D58" s="585">
        <f>D$56*0.8786</f>
        <v>64440345.909999974</v>
      </c>
      <c r="E58" s="585">
        <f t="shared" ref="E58:I58" si="41">E$56*0.8786</f>
        <v>66879532.802000001</v>
      </c>
      <c r="F58" s="585">
        <f t="shared" si="41"/>
        <v>68103668.610000014</v>
      </c>
      <c r="G58" s="585">
        <f t="shared" si="41"/>
        <v>68221567.944000021</v>
      </c>
      <c r="H58" s="585">
        <f t="shared" si="41"/>
        <v>72983544.799999997</v>
      </c>
      <c r="I58" s="585">
        <f t="shared" si="41"/>
        <v>75173051.144000009</v>
      </c>
      <c r="K58" s="211"/>
      <c r="L58" s="211"/>
    </row>
    <row r="59" spans="2:12">
      <c r="B59" s="61" t="s">
        <v>62</v>
      </c>
      <c r="C59" s="62" t="s">
        <v>73</v>
      </c>
      <c r="D59" s="585">
        <f>D$56*0.059</f>
        <v>4327316.6499999976</v>
      </c>
      <c r="E59" s="585">
        <f t="shared" ref="E59:I59" si="42">E$56*0.059</f>
        <v>4491113.63</v>
      </c>
      <c r="F59" s="585">
        <f t="shared" si="42"/>
        <v>4573317.1500000004</v>
      </c>
      <c r="G59" s="585">
        <f t="shared" si="42"/>
        <v>4581234.3600000003</v>
      </c>
      <c r="H59" s="585">
        <f t="shared" si="42"/>
        <v>4901012</v>
      </c>
      <c r="I59" s="585">
        <f t="shared" si="42"/>
        <v>5048042.3599999994</v>
      </c>
      <c r="K59" s="211"/>
      <c r="L59" s="211"/>
    </row>
    <row r="60" spans="2:12">
      <c r="B60" s="61" t="s">
        <v>63</v>
      </c>
      <c r="C60" s="62" t="s">
        <v>73</v>
      </c>
      <c r="D60" s="585">
        <f>D$56*0.0032</f>
        <v>234701.91999999993</v>
      </c>
      <c r="E60" s="585">
        <f t="shared" ref="E60:I60" si="43">E$56*0.0032</f>
        <v>243585.82400000002</v>
      </c>
      <c r="F60" s="585">
        <f t="shared" si="43"/>
        <v>248044.32000000007</v>
      </c>
      <c r="G60" s="585">
        <f t="shared" si="43"/>
        <v>248473.72800000006</v>
      </c>
      <c r="H60" s="585">
        <f t="shared" si="43"/>
        <v>265817.60000000003</v>
      </c>
      <c r="I60" s="585">
        <f t="shared" si="43"/>
        <v>273792.12800000003</v>
      </c>
      <c r="K60" s="211"/>
      <c r="L60" s="211"/>
    </row>
    <row r="61" spans="2:12" ht="15.75" thickBot="1">
      <c r="B61" s="63" t="s">
        <v>64</v>
      </c>
      <c r="C61" s="64" t="s">
        <v>73</v>
      </c>
      <c r="D61" s="585">
        <f>D$56*0.0428</f>
        <v>3139138.1799999988</v>
      </c>
      <c r="E61" s="585">
        <f t="shared" ref="E61:I61" si="44">E$56*0.0428</f>
        <v>3257960.3959999997</v>
      </c>
      <c r="F61" s="585">
        <f t="shared" si="44"/>
        <v>3317592.7800000003</v>
      </c>
      <c r="G61" s="585">
        <f t="shared" si="44"/>
        <v>3323336.1120000007</v>
      </c>
      <c r="H61" s="585">
        <f t="shared" si="44"/>
        <v>3555310.4</v>
      </c>
      <c r="I61" s="585">
        <f t="shared" si="44"/>
        <v>3661969.7119999998</v>
      </c>
      <c r="K61" s="211"/>
      <c r="L61" s="211"/>
    </row>
    <row r="62" spans="2:12">
      <c r="B62" s="57" t="s">
        <v>74</v>
      </c>
      <c r="C62" s="65" t="s">
        <v>73</v>
      </c>
      <c r="D62" s="584">
        <v>35846840.000000007</v>
      </c>
      <c r="E62" s="584">
        <v>39543189.999999985</v>
      </c>
      <c r="F62" s="584">
        <v>44262759.999999993</v>
      </c>
      <c r="G62" s="584">
        <v>39627330</v>
      </c>
      <c r="H62" s="584">
        <v>44089000</v>
      </c>
      <c r="I62" s="584">
        <f>H62*1.03</f>
        <v>45411670</v>
      </c>
    </row>
    <row r="63" spans="2:12">
      <c r="B63" s="59" t="s">
        <v>60</v>
      </c>
      <c r="C63" s="60" t="s">
        <v>73</v>
      </c>
      <c r="D63" s="585">
        <f>D$62*0.013</f>
        <v>466008.9200000001</v>
      </c>
      <c r="E63" s="585">
        <f t="shared" ref="E63:I63" si="45">E$62*0.013</f>
        <v>514061.4699999998</v>
      </c>
      <c r="F63" s="585">
        <f t="shared" si="45"/>
        <v>575415.87999999989</v>
      </c>
      <c r="G63" s="585">
        <f t="shared" si="45"/>
        <v>515155.29</v>
      </c>
      <c r="H63" s="585">
        <f t="shared" si="45"/>
        <v>573157</v>
      </c>
      <c r="I63" s="585">
        <f t="shared" si="45"/>
        <v>590351.71</v>
      </c>
      <c r="K63" s="211"/>
      <c r="L63" s="211"/>
    </row>
    <row r="64" spans="2:12">
      <c r="B64" s="61" t="s">
        <v>61</v>
      </c>
      <c r="C64" s="62" t="s">
        <v>73</v>
      </c>
      <c r="D64" s="585">
        <f>D$62*0.8225</f>
        <v>29484025.900000006</v>
      </c>
      <c r="E64" s="585">
        <f t="shared" ref="E64:I64" si="46">E$62*0.8225</f>
        <v>32524273.774999987</v>
      </c>
      <c r="F64" s="585">
        <f t="shared" si="46"/>
        <v>36406120.099999994</v>
      </c>
      <c r="G64" s="585">
        <f t="shared" si="46"/>
        <v>32593478.925000001</v>
      </c>
      <c r="H64" s="585">
        <f t="shared" si="46"/>
        <v>36263202.5</v>
      </c>
      <c r="I64" s="585">
        <f t="shared" si="46"/>
        <v>37351098.575000003</v>
      </c>
      <c r="K64" s="211"/>
      <c r="L64" s="211"/>
    </row>
    <row r="65" spans="2:12">
      <c r="B65" s="61" t="s">
        <v>62</v>
      </c>
      <c r="C65" s="62" t="s">
        <v>73</v>
      </c>
      <c r="D65" s="585">
        <f>D$62*0.1054</f>
        <v>3778256.9360000007</v>
      </c>
      <c r="E65" s="585">
        <f t="shared" ref="E65:I65" si="47">E$62*0.1054</f>
        <v>4167852.2259999984</v>
      </c>
      <c r="F65" s="585">
        <f t="shared" si="47"/>
        <v>4665294.9039999992</v>
      </c>
      <c r="G65" s="585">
        <f t="shared" si="47"/>
        <v>4176720.5819999999</v>
      </c>
      <c r="H65" s="585">
        <f t="shared" si="47"/>
        <v>4646980.5999999996</v>
      </c>
      <c r="I65" s="585">
        <f t="shared" si="47"/>
        <v>4786390.0180000002</v>
      </c>
      <c r="K65" s="211"/>
      <c r="L65" s="211"/>
    </row>
    <row r="66" spans="2:12">
      <c r="B66" s="61" t="s">
        <v>63</v>
      </c>
      <c r="C66" s="62" t="s">
        <v>73</v>
      </c>
      <c r="D66" s="585">
        <f>D$62*0.0013</f>
        <v>46600.892000000007</v>
      </c>
      <c r="E66" s="585">
        <f t="shared" ref="E66:I66" si="48">E$62*0.0013</f>
        <v>51406.146999999975</v>
      </c>
      <c r="F66" s="585">
        <f t="shared" si="48"/>
        <v>57541.587999999989</v>
      </c>
      <c r="G66" s="585">
        <f t="shared" si="48"/>
        <v>51515.528999999995</v>
      </c>
      <c r="H66" s="585">
        <f t="shared" si="48"/>
        <v>57315.7</v>
      </c>
      <c r="I66" s="585">
        <f t="shared" si="48"/>
        <v>59035.170999999995</v>
      </c>
      <c r="K66" s="211"/>
      <c r="L66" s="211"/>
    </row>
    <row r="67" spans="2:12" ht="15.75" thickBot="1">
      <c r="B67" s="63" t="s">
        <v>64</v>
      </c>
      <c r="C67" s="64" t="s">
        <v>73</v>
      </c>
      <c r="D67" s="585">
        <f>D$62*0.0578</f>
        <v>2071947.3520000004</v>
      </c>
      <c r="E67" s="585">
        <f t="shared" ref="E67:I67" si="49">E$62*0.0578</f>
        <v>2285596.3819999988</v>
      </c>
      <c r="F67" s="585">
        <f t="shared" si="49"/>
        <v>2558387.5279999995</v>
      </c>
      <c r="G67" s="585">
        <f t="shared" si="49"/>
        <v>2290459.6740000001</v>
      </c>
      <c r="H67" s="585">
        <f t="shared" si="49"/>
        <v>2548344.1999999997</v>
      </c>
      <c r="I67" s="585">
        <f t="shared" si="49"/>
        <v>2624794.5260000001</v>
      </c>
      <c r="K67" s="211"/>
      <c r="L67" s="211"/>
    </row>
    <row r="68" spans="2:12">
      <c r="B68" s="57" t="s">
        <v>75</v>
      </c>
      <c r="C68" s="65" t="s">
        <v>73</v>
      </c>
      <c r="D68" s="584">
        <v>86348930</v>
      </c>
      <c r="E68" s="584">
        <v>89285970.000000015</v>
      </c>
      <c r="F68" s="584">
        <v>91193900</v>
      </c>
      <c r="G68" s="584">
        <v>78096919.99999997</v>
      </c>
      <c r="H68" s="584">
        <v>82349000</v>
      </c>
      <c r="I68" s="584">
        <f>H68*1.03</f>
        <v>84819470</v>
      </c>
      <c r="J68" s="31"/>
      <c r="K68" s="234"/>
    </row>
    <row r="69" spans="2:12">
      <c r="B69" s="59" t="s">
        <v>60</v>
      </c>
      <c r="C69" s="60" t="s">
        <v>73</v>
      </c>
      <c r="D69" s="585">
        <f>D$68*0.0164</f>
        <v>1416122.452</v>
      </c>
      <c r="E69" s="585">
        <f t="shared" ref="E69:I69" si="50">E$68*0.0164</f>
        <v>1464289.9080000003</v>
      </c>
      <c r="F69" s="585">
        <f t="shared" si="50"/>
        <v>1495579.9600000002</v>
      </c>
      <c r="G69" s="585">
        <f t="shared" si="50"/>
        <v>1280789.4879999997</v>
      </c>
      <c r="H69" s="585">
        <f t="shared" si="50"/>
        <v>1350523.6</v>
      </c>
      <c r="I69" s="585">
        <f t="shared" si="50"/>
        <v>1391039.3080000002</v>
      </c>
      <c r="K69" s="211"/>
    </row>
    <row r="70" spans="2:12">
      <c r="B70" s="61" t="s">
        <v>61</v>
      </c>
      <c r="C70" s="62" t="s">
        <v>73</v>
      </c>
      <c r="D70" s="585">
        <f>D$68*0.8786</f>
        <v>75866169.898000002</v>
      </c>
      <c r="E70" s="585">
        <f t="shared" ref="E70:I70" si="51">E$68*0.8786</f>
        <v>78446653.242000014</v>
      </c>
      <c r="F70" s="585">
        <f t="shared" si="51"/>
        <v>80122960.540000007</v>
      </c>
      <c r="G70" s="585">
        <f t="shared" si="51"/>
        <v>68615953.911999971</v>
      </c>
      <c r="H70" s="585">
        <f t="shared" si="51"/>
        <v>72351831.400000006</v>
      </c>
      <c r="I70" s="585">
        <f t="shared" si="51"/>
        <v>74522386.342000008</v>
      </c>
      <c r="K70" s="211"/>
    </row>
    <row r="71" spans="2:12">
      <c r="B71" s="61" t="s">
        <v>62</v>
      </c>
      <c r="C71" s="62" t="s">
        <v>73</v>
      </c>
      <c r="D71" s="585">
        <f>D$68*0.059</f>
        <v>5094586.87</v>
      </c>
      <c r="E71" s="585">
        <f t="shared" ref="E71:I71" si="52">E$68*0.059</f>
        <v>5267872.2300000004</v>
      </c>
      <c r="F71" s="585">
        <f t="shared" si="52"/>
        <v>5380440.0999999996</v>
      </c>
      <c r="G71" s="585">
        <f t="shared" si="52"/>
        <v>4607718.2799999984</v>
      </c>
      <c r="H71" s="585">
        <f t="shared" si="52"/>
        <v>4858591</v>
      </c>
      <c r="I71" s="585">
        <f t="shared" si="52"/>
        <v>5004348.7299999995</v>
      </c>
      <c r="K71" s="211"/>
    </row>
    <row r="72" spans="2:12">
      <c r="B72" s="61" t="s">
        <v>63</v>
      </c>
      <c r="C72" s="62" t="s">
        <v>73</v>
      </c>
      <c r="D72" s="585">
        <f>D$68*0.0032</f>
        <v>276316.576</v>
      </c>
      <c r="E72" s="585">
        <f t="shared" ref="E72:I72" si="53">E$68*0.0032</f>
        <v>285715.10400000005</v>
      </c>
      <c r="F72" s="585">
        <f t="shared" si="53"/>
        <v>291820.48000000004</v>
      </c>
      <c r="G72" s="585">
        <f t="shared" si="53"/>
        <v>249910.14399999991</v>
      </c>
      <c r="H72" s="585">
        <f t="shared" si="53"/>
        <v>263516.79999999999</v>
      </c>
      <c r="I72" s="585">
        <f t="shared" si="53"/>
        <v>271422.304</v>
      </c>
      <c r="K72" s="211"/>
    </row>
    <row r="73" spans="2:12" ht="15.75" thickBot="1">
      <c r="B73" s="63" t="s">
        <v>64</v>
      </c>
      <c r="C73" s="64" t="s">
        <v>73</v>
      </c>
      <c r="D73" s="585">
        <f>D$68*0.0428</f>
        <v>3695734.2039999999</v>
      </c>
      <c r="E73" s="585">
        <f t="shared" ref="E73:I73" si="54">E$68*0.0428</f>
        <v>3821439.5160000003</v>
      </c>
      <c r="F73" s="585">
        <f t="shared" si="54"/>
        <v>3903098.92</v>
      </c>
      <c r="G73" s="585">
        <f t="shared" si="54"/>
        <v>3342548.1759999986</v>
      </c>
      <c r="H73" s="585">
        <f t="shared" si="54"/>
        <v>3524537.1999999997</v>
      </c>
      <c r="I73" s="585">
        <f t="shared" si="54"/>
        <v>3630273.3159999996</v>
      </c>
      <c r="K73" s="211"/>
    </row>
    <row r="74" spans="2:12" ht="15.75" thickBot="1">
      <c r="B74" s="66" t="s">
        <v>76</v>
      </c>
      <c r="C74" s="67" t="s">
        <v>73</v>
      </c>
      <c r="D74" s="582"/>
      <c r="E74" s="582"/>
      <c r="F74" s="582"/>
      <c r="G74" s="582"/>
      <c r="H74" s="582"/>
      <c r="I74" s="583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5">
    <tabColor rgb="FFFFFF00"/>
  </sheetPr>
  <dimension ref="B1:J45"/>
  <sheetViews>
    <sheetView showGridLines="0" workbookViewId="0">
      <selection activeCell="J43" sqref="B7:J43"/>
    </sheetView>
  </sheetViews>
  <sheetFormatPr defaultColWidth="8.7109375" defaultRowHeight="15"/>
  <cols>
    <col min="1" max="1" width="10.7109375" customWidth="1"/>
    <col min="2" max="2" width="4.5703125" customWidth="1"/>
    <col min="3" max="3" width="28.5703125" customWidth="1"/>
    <col min="5" max="5" width="15.7109375" customWidth="1"/>
    <col min="6" max="10" width="12.7109375" customWidth="1"/>
  </cols>
  <sheetData>
    <row r="1" spans="2:10" ht="15" customHeight="1" thickBot="1">
      <c r="B1" s="42" t="s">
        <v>54</v>
      </c>
      <c r="C1" s="42" t="s">
        <v>77</v>
      </c>
    </row>
    <row r="2" spans="2:10" ht="15.75">
      <c r="B2" s="68" t="s">
        <v>9</v>
      </c>
      <c r="C2" s="69"/>
      <c r="D2" s="69"/>
      <c r="E2" s="69"/>
      <c r="F2" s="69"/>
      <c r="G2" s="69"/>
      <c r="H2" s="70"/>
      <c r="I2" s="70"/>
      <c r="J2" s="71"/>
    </row>
    <row r="3" spans="2:10" ht="15.75">
      <c r="B3" s="72" t="s">
        <v>78</v>
      </c>
      <c r="C3" s="73"/>
      <c r="D3" s="73"/>
      <c r="E3" s="73"/>
      <c r="F3" s="73"/>
      <c r="G3" s="73"/>
      <c r="H3" s="74"/>
      <c r="I3" s="75"/>
      <c r="J3" s="76"/>
    </row>
    <row r="4" spans="2:10" ht="15.75">
      <c r="B4" s="77" t="s">
        <v>79</v>
      </c>
      <c r="C4" s="75"/>
      <c r="D4" s="75"/>
      <c r="E4" s="75"/>
      <c r="F4" s="75"/>
      <c r="G4" s="75"/>
      <c r="H4" s="75"/>
      <c r="I4" s="75"/>
      <c r="J4" s="76"/>
    </row>
    <row r="5" spans="2:10" ht="16.5" thickBot="1">
      <c r="B5" s="78" t="s">
        <v>80</v>
      </c>
      <c r="C5" s="79"/>
      <c r="D5" s="79"/>
      <c r="E5" s="79"/>
      <c r="F5" s="79"/>
      <c r="G5" s="79"/>
      <c r="H5" s="79"/>
      <c r="I5" s="79"/>
      <c r="J5" s="80"/>
    </row>
    <row r="6" spans="2:10" ht="15.75" thickBot="1"/>
    <row r="7" spans="2:10" ht="26.25" customHeight="1" thickTop="1">
      <c r="B7" s="586" t="s">
        <v>15</v>
      </c>
      <c r="C7" s="22"/>
      <c r="D7" s="22" t="s">
        <v>16</v>
      </c>
      <c r="E7" s="22">
        <v>2019</v>
      </c>
      <c r="F7" s="81">
        <v>2020</v>
      </c>
      <c r="G7" s="81">
        <v>2021</v>
      </c>
      <c r="H7" s="81">
        <v>2022</v>
      </c>
      <c r="I7" s="81">
        <v>2023</v>
      </c>
      <c r="J7" s="81">
        <v>2024</v>
      </c>
    </row>
    <row r="8" spans="2:10">
      <c r="B8" s="82" t="s">
        <v>81</v>
      </c>
      <c r="C8" s="83"/>
      <c r="D8" s="84"/>
      <c r="E8" s="85"/>
      <c r="F8" s="86"/>
      <c r="G8" s="86"/>
      <c r="H8" s="86"/>
      <c r="I8" s="86"/>
      <c r="J8" s="87"/>
    </row>
    <row r="9" spans="2:10">
      <c r="B9" s="88" t="s">
        <v>82</v>
      </c>
      <c r="C9" s="89" t="s">
        <v>83</v>
      </c>
      <c r="D9" s="90" t="s">
        <v>84</v>
      </c>
      <c r="E9" s="458">
        <v>4.8059299999999991</v>
      </c>
      <c r="F9" s="458">
        <v>4.8059299999999991</v>
      </c>
      <c r="G9" s="458">
        <v>4.8059299999999991</v>
      </c>
      <c r="H9" s="458">
        <v>4.8059299999999991</v>
      </c>
      <c r="I9" s="458">
        <v>4.8059299999999991</v>
      </c>
      <c r="J9" s="458">
        <v>4.8059299999999991</v>
      </c>
    </row>
    <row r="10" spans="2:10">
      <c r="B10" s="91" t="s">
        <v>85</v>
      </c>
      <c r="C10" s="92" t="s">
        <v>86</v>
      </c>
      <c r="D10" s="93" t="s">
        <v>84</v>
      </c>
      <c r="E10" s="461">
        <v>12.00432</v>
      </c>
      <c r="F10" s="461">
        <v>12.00432</v>
      </c>
      <c r="G10" s="461">
        <v>12.00432</v>
      </c>
      <c r="H10" s="461">
        <v>12.00432</v>
      </c>
      <c r="I10" s="461">
        <v>12.00432</v>
      </c>
      <c r="J10" s="461">
        <v>12.00432</v>
      </c>
    </row>
    <row r="11" spans="2:10">
      <c r="B11" s="91" t="s">
        <v>87</v>
      </c>
      <c r="C11" s="92" t="s">
        <v>88</v>
      </c>
      <c r="D11" s="93" t="s">
        <v>84</v>
      </c>
      <c r="E11" s="461">
        <v>4.9538500000000001</v>
      </c>
      <c r="F11" s="461">
        <v>4.9538500000000001</v>
      </c>
      <c r="G11" s="461">
        <v>4.9538500000000001</v>
      </c>
      <c r="H11" s="461">
        <v>4.9538500000000001</v>
      </c>
      <c r="I11" s="461">
        <v>4.9538500000000001</v>
      </c>
      <c r="J11" s="461">
        <v>4.9538500000000001</v>
      </c>
    </row>
    <row r="12" spans="2:10">
      <c r="B12" s="94" t="s">
        <v>89</v>
      </c>
      <c r="C12" s="95" t="s">
        <v>90</v>
      </c>
      <c r="D12" s="93" t="s">
        <v>84</v>
      </c>
      <c r="E12" s="461">
        <v>37.309440000000002</v>
      </c>
      <c r="F12" s="461">
        <v>37.309440000000002</v>
      </c>
      <c r="G12" s="461">
        <v>37.309440000000002</v>
      </c>
      <c r="H12" s="461">
        <v>37.309440000000002</v>
      </c>
      <c r="I12" s="461">
        <v>37.309440000000002</v>
      </c>
      <c r="J12" s="461">
        <v>37.309440000000002</v>
      </c>
    </row>
    <row r="13" spans="2:10">
      <c r="B13" s="94" t="s">
        <v>91</v>
      </c>
      <c r="C13" s="95" t="s">
        <v>92</v>
      </c>
      <c r="D13" s="93" t="s">
        <v>84</v>
      </c>
      <c r="E13" s="461">
        <v>4.9778900000000004</v>
      </c>
      <c r="F13" s="461">
        <v>4.9778900000000004</v>
      </c>
      <c r="G13" s="461">
        <v>4.9778900000000004</v>
      </c>
      <c r="H13" s="461">
        <v>4.9778900000000004</v>
      </c>
      <c r="I13" s="461">
        <v>4.9778900000000004</v>
      </c>
      <c r="J13" s="461">
        <v>4.9778900000000004</v>
      </c>
    </row>
    <row r="14" spans="2:10">
      <c r="B14" s="94" t="s">
        <v>93</v>
      </c>
      <c r="C14" s="95" t="s">
        <v>94</v>
      </c>
      <c r="D14" s="93" t="s">
        <v>84</v>
      </c>
      <c r="E14" s="461">
        <v>7.1091999999999995</v>
      </c>
      <c r="F14" s="461">
        <v>7.1091999999999995</v>
      </c>
      <c r="G14" s="461">
        <v>7.1091999999999995</v>
      </c>
      <c r="H14" s="461">
        <v>7.1091999999999995</v>
      </c>
      <c r="I14" s="461">
        <v>7.1091999999999995</v>
      </c>
      <c r="J14" s="461">
        <v>7.1091999999999995</v>
      </c>
    </row>
    <row r="15" spans="2:10">
      <c r="B15" s="94" t="s">
        <v>95</v>
      </c>
      <c r="C15" s="95" t="s">
        <v>96</v>
      </c>
      <c r="D15" s="93" t="s">
        <v>84</v>
      </c>
      <c r="E15" s="461">
        <v>4.7292399999999999</v>
      </c>
      <c r="F15" s="461">
        <v>4.7292399999999999</v>
      </c>
      <c r="G15" s="461">
        <v>4.7292399999999999</v>
      </c>
      <c r="H15" s="461">
        <v>4.7292399999999999</v>
      </c>
      <c r="I15" s="461">
        <v>4.7292399999999999</v>
      </c>
      <c r="J15" s="461">
        <v>4.7292399999999999</v>
      </c>
    </row>
    <row r="16" spans="2:10">
      <c r="B16" s="94" t="s">
        <v>97</v>
      </c>
      <c r="C16" s="95" t="s">
        <v>98</v>
      </c>
      <c r="D16" s="93" t="s">
        <v>84</v>
      </c>
      <c r="E16" s="461">
        <v>3.0347499999999998</v>
      </c>
      <c r="F16" s="461">
        <v>3.0347499999999998</v>
      </c>
      <c r="G16" s="461">
        <v>3.0347499999999998</v>
      </c>
      <c r="H16" s="461">
        <v>3.0347499999999998</v>
      </c>
      <c r="I16" s="461">
        <v>3.0347499999999998</v>
      </c>
      <c r="J16" s="461">
        <v>3.0347499999999998</v>
      </c>
    </row>
    <row r="17" spans="2:10">
      <c r="B17" s="94" t="s">
        <v>99</v>
      </c>
      <c r="C17" s="95" t="s">
        <v>100</v>
      </c>
      <c r="D17" s="93" t="s">
        <v>84</v>
      </c>
      <c r="E17" s="461">
        <v>12.203119999999998</v>
      </c>
      <c r="F17" s="461">
        <v>12.203119999999998</v>
      </c>
      <c r="G17" s="461">
        <v>12.203119999999998</v>
      </c>
      <c r="H17" s="461">
        <v>12.203119999999998</v>
      </c>
      <c r="I17" s="461">
        <v>12.203119999999998</v>
      </c>
      <c r="J17" s="461">
        <v>12.203119999999998</v>
      </c>
    </row>
    <row r="18" spans="2:10">
      <c r="B18" s="94" t="s">
        <v>101</v>
      </c>
      <c r="C18" s="95" t="s">
        <v>102</v>
      </c>
      <c r="D18" s="93" t="s">
        <v>84</v>
      </c>
      <c r="E18" s="461">
        <v>8.1156699999999997</v>
      </c>
      <c r="F18" s="461">
        <v>8.1156699999999997</v>
      </c>
      <c r="G18" s="461">
        <v>8.1156699999999997</v>
      </c>
      <c r="H18" s="461">
        <v>8.1156699999999997</v>
      </c>
      <c r="I18" s="461">
        <v>8.1156699999999997</v>
      </c>
      <c r="J18" s="461">
        <v>8.1156699999999997</v>
      </c>
    </row>
    <row r="19" spans="2:10">
      <c r="B19" s="96" t="s">
        <v>103</v>
      </c>
      <c r="C19" s="97" t="s">
        <v>104</v>
      </c>
      <c r="D19" s="98" t="s">
        <v>84</v>
      </c>
      <c r="E19" s="462">
        <v>99.243409999999997</v>
      </c>
      <c r="F19" s="463">
        <v>99.243409999999997</v>
      </c>
      <c r="G19" s="463">
        <v>99.243409999999997</v>
      </c>
      <c r="H19" s="463">
        <v>99.243409999999997</v>
      </c>
      <c r="I19" s="463">
        <v>99.243409999999997</v>
      </c>
      <c r="J19" s="464">
        <v>99.243409999999997</v>
      </c>
    </row>
    <row r="20" spans="2:10">
      <c r="B20" s="82" t="s">
        <v>105</v>
      </c>
      <c r="C20" s="83"/>
      <c r="D20" s="84"/>
      <c r="E20" s="102"/>
      <c r="F20" s="103"/>
      <c r="G20" s="103"/>
      <c r="H20" s="103"/>
      <c r="I20" s="103"/>
      <c r="J20" s="103"/>
    </row>
    <row r="21" spans="2:10">
      <c r="B21" s="91" t="s">
        <v>106</v>
      </c>
      <c r="C21" s="92" t="s">
        <v>83</v>
      </c>
      <c r="D21" s="93" t="s">
        <v>84</v>
      </c>
      <c r="E21" s="457">
        <v>0.36912</v>
      </c>
      <c r="F21" s="457">
        <v>0.36912</v>
      </c>
      <c r="G21" s="457">
        <v>0.36912</v>
      </c>
      <c r="H21" s="457">
        <v>0.36912</v>
      </c>
      <c r="I21" s="457">
        <v>0.36912</v>
      </c>
      <c r="J21" s="458">
        <v>0.36912</v>
      </c>
    </row>
    <row r="22" spans="2:10">
      <c r="B22" s="94" t="s">
        <v>107</v>
      </c>
      <c r="C22" s="95" t="s">
        <v>86</v>
      </c>
      <c r="D22" s="93" t="s">
        <v>84</v>
      </c>
      <c r="E22" s="459">
        <v>0.54753999999999992</v>
      </c>
      <c r="F22" s="460">
        <v>0.54753999999999992</v>
      </c>
      <c r="G22" s="460">
        <v>0.54753999999999992</v>
      </c>
      <c r="H22" s="460">
        <v>0.54753999999999992</v>
      </c>
      <c r="I22" s="460">
        <v>0.54753999999999992</v>
      </c>
      <c r="J22" s="461">
        <v>0.54753999999999992</v>
      </c>
    </row>
    <row r="23" spans="2:10">
      <c r="B23" s="94" t="s">
        <v>108</v>
      </c>
      <c r="C23" s="95" t="s">
        <v>88</v>
      </c>
      <c r="D23" s="93" t="s">
        <v>84</v>
      </c>
      <c r="E23" s="459">
        <v>0.26196999999999998</v>
      </c>
      <c r="F23" s="460">
        <v>0.26196999999999998</v>
      </c>
      <c r="G23" s="460">
        <v>0.26196999999999998</v>
      </c>
      <c r="H23" s="460">
        <v>0.26196999999999998</v>
      </c>
      <c r="I23" s="460">
        <v>0.26196999999999998</v>
      </c>
      <c r="J23" s="461">
        <v>0.26196999999999998</v>
      </c>
    </row>
    <row r="24" spans="2:10">
      <c r="B24" s="94" t="s">
        <v>109</v>
      </c>
      <c r="C24" s="95" t="s">
        <v>90</v>
      </c>
      <c r="D24" s="93" t="s">
        <v>84</v>
      </c>
      <c r="E24" s="459">
        <v>1.6508499999999999</v>
      </c>
      <c r="F24" s="459">
        <v>1.6508499999999999</v>
      </c>
      <c r="G24" s="459">
        <v>1.6508499999999999</v>
      </c>
      <c r="H24" s="459">
        <v>1.6508499999999999</v>
      </c>
      <c r="I24" s="459">
        <v>1.6508499999999999</v>
      </c>
      <c r="J24" s="461">
        <v>1.6508499999999999</v>
      </c>
    </row>
    <row r="25" spans="2:10">
      <c r="B25" s="94" t="s">
        <v>110</v>
      </c>
      <c r="C25" s="95" t="s">
        <v>92</v>
      </c>
      <c r="D25" s="93" t="s">
        <v>84</v>
      </c>
      <c r="E25" s="459">
        <v>0.41583000000000009</v>
      </c>
      <c r="F25" s="459">
        <v>0.41583000000000009</v>
      </c>
      <c r="G25" s="459">
        <v>0.41583000000000009</v>
      </c>
      <c r="H25" s="459">
        <v>0.41583000000000009</v>
      </c>
      <c r="I25" s="459">
        <v>0.41583000000000009</v>
      </c>
      <c r="J25" s="461">
        <v>0.41583000000000009</v>
      </c>
    </row>
    <row r="26" spans="2:10">
      <c r="B26" s="94" t="s">
        <v>111</v>
      </c>
      <c r="C26" s="95" t="s">
        <v>94</v>
      </c>
      <c r="D26" s="93" t="s">
        <v>84</v>
      </c>
      <c r="E26" s="459">
        <v>0.19392000000000001</v>
      </c>
      <c r="F26" s="459">
        <v>0.19392000000000001</v>
      </c>
      <c r="G26" s="459">
        <v>0.19392000000000001</v>
      </c>
      <c r="H26" s="459">
        <v>0.19392000000000001</v>
      </c>
      <c r="I26" s="459">
        <v>0.19392000000000001</v>
      </c>
      <c r="J26" s="461">
        <v>0.19392000000000001</v>
      </c>
    </row>
    <row r="27" spans="2:10">
      <c r="B27" s="94" t="s">
        <v>112</v>
      </c>
      <c r="C27" s="95" t="s">
        <v>96</v>
      </c>
      <c r="D27" s="93" t="s">
        <v>84</v>
      </c>
      <c r="E27" s="459">
        <v>0.15722999999999998</v>
      </c>
      <c r="F27" s="460">
        <v>0.15722999999999998</v>
      </c>
      <c r="G27" s="460">
        <v>0.15722999999999998</v>
      </c>
      <c r="H27" s="460">
        <v>0.15722999999999998</v>
      </c>
      <c r="I27" s="460">
        <v>0.15722999999999998</v>
      </c>
      <c r="J27" s="461">
        <v>0.15722999999999998</v>
      </c>
    </row>
    <row r="28" spans="2:10">
      <c r="B28" s="94" t="s">
        <v>113</v>
      </c>
      <c r="C28" s="95" t="s">
        <v>98</v>
      </c>
      <c r="D28" s="93" t="s">
        <v>84</v>
      </c>
      <c r="E28" s="459">
        <v>0.43069000000000002</v>
      </c>
      <c r="F28" s="459">
        <v>0.43069000000000002</v>
      </c>
      <c r="G28" s="459">
        <v>0.43069000000000002</v>
      </c>
      <c r="H28" s="459">
        <v>0.43069000000000002</v>
      </c>
      <c r="I28" s="459">
        <v>0.43069000000000002</v>
      </c>
      <c r="J28" s="461">
        <v>0.43069000000000002</v>
      </c>
    </row>
    <row r="29" spans="2:10">
      <c r="B29" s="94" t="s">
        <v>114</v>
      </c>
      <c r="C29" s="95" t="s">
        <v>100</v>
      </c>
      <c r="D29" s="93" t="s">
        <v>84</v>
      </c>
      <c r="E29" s="459">
        <v>0.77162000000000008</v>
      </c>
      <c r="F29" s="459">
        <v>0.77162000000000008</v>
      </c>
      <c r="G29" s="459">
        <v>0.77162000000000008</v>
      </c>
      <c r="H29" s="459">
        <v>0.77162000000000008</v>
      </c>
      <c r="I29" s="459">
        <v>0.77162000000000008</v>
      </c>
      <c r="J29" s="461">
        <v>0.77162000000000008</v>
      </c>
    </row>
    <row r="30" spans="2:10">
      <c r="B30" s="94" t="s">
        <v>115</v>
      </c>
      <c r="C30" s="95" t="s">
        <v>102</v>
      </c>
      <c r="D30" s="93" t="s">
        <v>84</v>
      </c>
      <c r="E30" s="459">
        <v>1.5624</v>
      </c>
      <c r="F30" s="460">
        <v>1.5624</v>
      </c>
      <c r="G30" s="460">
        <v>1.5624</v>
      </c>
      <c r="H30" s="460">
        <v>1.5624</v>
      </c>
      <c r="I30" s="460">
        <v>1.5624</v>
      </c>
      <c r="J30" s="461">
        <v>1.5624</v>
      </c>
    </row>
    <row r="31" spans="2:10">
      <c r="B31" s="96" t="s">
        <v>116</v>
      </c>
      <c r="C31" s="97" t="s">
        <v>117</v>
      </c>
      <c r="D31" s="104" t="s">
        <v>84</v>
      </c>
      <c r="E31" s="99">
        <v>6.3611700000000004</v>
      </c>
      <c r="F31" s="100">
        <v>6.3611700000000004</v>
      </c>
      <c r="G31" s="100">
        <v>6.3611700000000004</v>
      </c>
      <c r="H31" s="100">
        <v>6.3611700000000004</v>
      </c>
      <c r="I31" s="100">
        <v>6.3611700000000004</v>
      </c>
      <c r="J31" s="105">
        <v>6.3611700000000004</v>
      </c>
    </row>
    <row r="32" spans="2:10">
      <c r="B32" s="82" t="s">
        <v>118</v>
      </c>
      <c r="C32" s="97"/>
      <c r="D32" s="104"/>
      <c r="E32" s="106"/>
      <c r="F32" s="103"/>
      <c r="G32" s="103"/>
      <c r="H32" s="103"/>
      <c r="I32" s="103"/>
      <c r="J32" s="103"/>
    </row>
    <row r="33" spans="2:10">
      <c r="B33" s="91" t="s">
        <v>106</v>
      </c>
      <c r="C33" s="92" t="s">
        <v>83</v>
      </c>
      <c r="D33" s="93" t="s">
        <v>84</v>
      </c>
      <c r="E33" s="457">
        <v>5.1750499999999997</v>
      </c>
      <c r="F33" s="457">
        <v>5.1750499999999997</v>
      </c>
      <c r="G33" s="457">
        <v>5.1750499999999997</v>
      </c>
      <c r="H33" s="457">
        <v>5.1750499999999997</v>
      </c>
      <c r="I33" s="457">
        <v>5.1750499999999997</v>
      </c>
      <c r="J33" s="458">
        <v>5.1750499999999997</v>
      </c>
    </row>
    <row r="34" spans="2:10">
      <c r="B34" s="94" t="s">
        <v>107</v>
      </c>
      <c r="C34" s="95" t="s">
        <v>86</v>
      </c>
      <c r="D34" s="93" t="s">
        <v>84</v>
      </c>
      <c r="E34" s="459">
        <v>12.551860000000001</v>
      </c>
      <c r="F34" s="460">
        <v>12.551860000000001</v>
      </c>
      <c r="G34" s="460">
        <v>12.551860000000001</v>
      </c>
      <c r="H34" s="460">
        <v>12.551860000000001</v>
      </c>
      <c r="I34" s="460">
        <v>12.551860000000001</v>
      </c>
      <c r="J34" s="461">
        <v>12.551860000000001</v>
      </c>
    </row>
    <row r="35" spans="2:10">
      <c r="B35" s="94" t="s">
        <v>108</v>
      </c>
      <c r="C35" s="95" t="s">
        <v>88</v>
      </c>
      <c r="D35" s="93" t="s">
        <v>84</v>
      </c>
      <c r="E35" s="459">
        <v>5.2158200000000008</v>
      </c>
      <c r="F35" s="460">
        <v>5.2158200000000008</v>
      </c>
      <c r="G35" s="460">
        <v>5.2158200000000008</v>
      </c>
      <c r="H35" s="460">
        <v>5.2158200000000008</v>
      </c>
      <c r="I35" s="460">
        <v>5.2158200000000008</v>
      </c>
      <c r="J35" s="461">
        <v>5.2158200000000008</v>
      </c>
    </row>
    <row r="36" spans="2:10">
      <c r="B36" s="94" t="s">
        <v>109</v>
      </c>
      <c r="C36" s="95" t="s">
        <v>90</v>
      </c>
      <c r="D36" s="93" t="s">
        <v>84</v>
      </c>
      <c r="E36" s="459">
        <v>38.960290000000001</v>
      </c>
      <c r="F36" s="459">
        <v>38.960290000000001</v>
      </c>
      <c r="G36" s="459">
        <v>38.960290000000001</v>
      </c>
      <c r="H36" s="459">
        <v>38.960290000000001</v>
      </c>
      <c r="I36" s="459">
        <v>38.960290000000001</v>
      </c>
      <c r="J36" s="461">
        <v>38.960290000000001</v>
      </c>
    </row>
    <row r="37" spans="2:10">
      <c r="B37" s="94" t="s">
        <v>110</v>
      </c>
      <c r="C37" s="95" t="s">
        <v>92</v>
      </c>
      <c r="D37" s="93" t="s">
        <v>84</v>
      </c>
      <c r="E37" s="459">
        <v>5.3937200000000001</v>
      </c>
      <c r="F37" s="459">
        <v>5.3937200000000001</v>
      </c>
      <c r="G37" s="459">
        <v>5.3937200000000001</v>
      </c>
      <c r="H37" s="459">
        <v>5.3937200000000001</v>
      </c>
      <c r="I37" s="459">
        <v>5.3937200000000001</v>
      </c>
      <c r="J37" s="461">
        <v>5.3937200000000001</v>
      </c>
    </row>
    <row r="38" spans="2:10">
      <c r="B38" s="94" t="s">
        <v>111</v>
      </c>
      <c r="C38" s="95" t="s">
        <v>94</v>
      </c>
      <c r="D38" s="93" t="s">
        <v>84</v>
      </c>
      <c r="E38" s="459">
        <v>7.3031199999999998</v>
      </c>
      <c r="F38" s="459">
        <v>7.3031199999999998</v>
      </c>
      <c r="G38" s="459">
        <v>7.3031199999999998</v>
      </c>
      <c r="H38" s="459">
        <v>7.3031199999999998</v>
      </c>
      <c r="I38" s="459">
        <v>7.3031199999999998</v>
      </c>
      <c r="J38" s="461">
        <v>7.3031199999999998</v>
      </c>
    </row>
    <row r="39" spans="2:10">
      <c r="B39" s="94" t="s">
        <v>112</v>
      </c>
      <c r="C39" s="95" t="s">
        <v>96</v>
      </c>
      <c r="D39" s="93" t="s">
        <v>84</v>
      </c>
      <c r="E39" s="459">
        <v>4.8864699999999992</v>
      </c>
      <c r="F39" s="460">
        <v>4.8864699999999992</v>
      </c>
      <c r="G39" s="460">
        <v>4.8864699999999992</v>
      </c>
      <c r="H39" s="460">
        <v>4.8864699999999992</v>
      </c>
      <c r="I39" s="460">
        <v>4.8864699999999992</v>
      </c>
      <c r="J39" s="461">
        <v>4.8864699999999992</v>
      </c>
    </row>
    <row r="40" spans="2:10">
      <c r="B40" s="94" t="s">
        <v>113</v>
      </c>
      <c r="C40" s="95" t="s">
        <v>98</v>
      </c>
      <c r="D40" s="93" t="s">
        <v>84</v>
      </c>
      <c r="E40" s="459">
        <v>3.4654400000000001</v>
      </c>
      <c r="F40" s="459">
        <v>3.4654400000000001</v>
      </c>
      <c r="G40" s="459">
        <v>3.4654400000000001</v>
      </c>
      <c r="H40" s="459">
        <v>3.4654400000000001</v>
      </c>
      <c r="I40" s="459">
        <v>3.4654400000000001</v>
      </c>
      <c r="J40" s="461">
        <v>3.4654400000000001</v>
      </c>
    </row>
    <row r="41" spans="2:10">
      <c r="B41" s="94" t="s">
        <v>114</v>
      </c>
      <c r="C41" s="95" t="s">
        <v>100</v>
      </c>
      <c r="D41" s="93" t="s">
        <v>84</v>
      </c>
      <c r="E41" s="459">
        <v>12.974740000000001</v>
      </c>
      <c r="F41" s="459">
        <v>12.974740000000001</v>
      </c>
      <c r="G41" s="459">
        <v>12.974740000000001</v>
      </c>
      <c r="H41" s="459">
        <v>12.974740000000001</v>
      </c>
      <c r="I41" s="459">
        <v>12.974740000000001</v>
      </c>
      <c r="J41" s="461">
        <v>12.974740000000001</v>
      </c>
    </row>
    <row r="42" spans="2:10">
      <c r="B42" s="94" t="s">
        <v>115</v>
      </c>
      <c r="C42" s="95" t="s">
        <v>102</v>
      </c>
      <c r="D42" s="93" t="s">
        <v>84</v>
      </c>
      <c r="E42" s="459">
        <v>9.67807</v>
      </c>
      <c r="F42" s="460">
        <v>9.67807</v>
      </c>
      <c r="G42" s="460">
        <v>9.67807</v>
      </c>
      <c r="H42" s="460">
        <v>9.67807</v>
      </c>
      <c r="I42" s="460">
        <v>9.67807</v>
      </c>
      <c r="J42" s="461">
        <v>9.67807</v>
      </c>
    </row>
    <row r="43" spans="2:10">
      <c r="B43" s="96" t="s">
        <v>116</v>
      </c>
      <c r="C43" s="107" t="s">
        <v>119</v>
      </c>
      <c r="D43" s="104" t="s">
        <v>84</v>
      </c>
      <c r="E43" s="99">
        <v>105.60458</v>
      </c>
      <c r="F43" s="100">
        <v>105.60458</v>
      </c>
      <c r="G43" s="100">
        <v>105.60458</v>
      </c>
      <c r="H43" s="100">
        <v>105.60458</v>
      </c>
      <c r="I43" s="100">
        <v>105.60458</v>
      </c>
      <c r="J43" s="101">
        <v>105.60458</v>
      </c>
    </row>
    <row r="44" spans="2:10">
      <c r="F44" s="108"/>
      <c r="G44" s="108"/>
      <c r="H44" s="108"/>
      <c r="I44" s="108"/>
      <c r="J44" s="108"/>
    </row>
    <row r="45" spans="2:10">
      <c r="E45" s="109"/>
      <c r="F45" s="109"/>
      <c r="G45" s="109"/>
      <c r="H45" s="109"/>
      <c r="I45" s="109"/>
      <c r="J45" s="109"/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6">
    <tabColor rgb="FFFFFF00"/>
  </sheetPr>
  <dimension ref="B1:J45"/>
  <sheetViews>
    <sheetView showGridLines="0" workbookViewId="0">
      <selection activeCell="L21" sqref="L21"/>
    </sheetView>
  </sheetViews>
  <sheetFormatPr defaultColWidth="8.7109375" defaultRowHeight="15"/>
  <cols>
    <col min="1" max="1" width="10.7109375" customWidth="1"/>
    <col min="2" max="2" width="4.5703125" customWidth="1"/>
    <col min="3" max="3" width="28.5703125" customWidth="1"/>
    <col min="5" max="5" width="15.7109375" customWidth="1"/>
    <col min="6" max="10" width="12.7109375" customWidth="1"/>
  </cols>
  <sheetData>
    <row r="1" spans="2:10" ht="15" customHeight="1" thickBot="1">
      <c r="B1" s="42" t="s">
        <v>54</v>
      </c>
      <c r="C1" s="42" t="s">
        <v>77</v>
      </c>
    </row>
    <row r="2" spans="2:10" ht="15.75">
      <c r="B2" s="68" t="s">
        <v>9</v>
      </c>
      <c r="C2" s="69"/>
      <c r="D2" s="69"/>
      <c r="E2" s="69"/>
      <c r="F2" s="69"/>
      <c r="G2" s="69"/>
      <c r="H2" s="70"/>
      <c r="I2" s="70"/>
      <c r="J2" s="71"/>
    </row>
    <row r="3" spans="2:10" ht="15.75">
      <c r="B3" s="72" t="s">
        <v>78</v>
      </c>
      <c r="C3" s="73"/>
      <c r="D3" s="73"/>
      <c r="E3" s="73"/>
      <c r="F3" s="73"/>
      <c r="G3" s="73"/>
      <c r="H3" s="74"/>
      <c r="I3" s="75"/>
      <c r="J3" s="76"/>
    </row>
    <row r="4" spans="2:10" ht="15.75">
      <c r="B4" s="77" t="s">
        <v>120</v>
      </c>
      <c r="C4" s="75"/>
      <c r="D4" s="75"/>
      <c r="E4" s="75"/>
      <c r="F4" s="75"/>
      <c r="G4" s="75"/>
      <c r="H4" s="75"/>
      <c r="I4" s="75"/>
      <c r="J4" s="76"/>
    </row>
    <row r="5" spans="2:10" ht="16.5" thickBot="1">
      <c r="B5" s="78" t="s">
        <v>80</v>
      </c>
      <c r="C5" s="79"/>
      <c r="D5" s="79"/>
      <c r="E5" s="79"/>
      <c r="F5" s="79"/>
      <c r="G5" s="79"/>
      <c r="H5" s="79"/>
      <c r="I5" s="79"/>
      <c r="J5" s="80"/>
    </row>
    <row r="6" spans="2:10" ht="15.75" thickBot="1"/>
    <row r="7" spans="2:10" ht="26.25" customHeight="1" thickTop="1">
      <c r="B7" s="668" t="s">
        <v>15</v>
      </c>
      <c r="C7" s="668"/>
      <c r="D7" s="22" t="s">
        <v>16</v>
      </c>
      <c r="E7" s="22">
        <v>2019</v>
      </c>
      <c r="F7" s="81">
        <v>2020</v>
      </c>
      <c r="G7" s="81">
        <v>2021</v>
      </c>
      <c r="H7" s="81">
        <v>2022</v>
      </c>
      <c r="I7" s="81">
        <v>2023</v>
      </c>
      <c r="J7" s="81">
        <v>2024</v>
      </c>
    </row>
    <row r="8" spans="2:10">
      <c r="B8" s="82" t="s">
        <v>81</v>
      </c>
      <c r="C8" s="83"/>
      <c r="D8" s="84"/>
      <c r="E8" s="85"/>
      <c r="F8" s="86"/>
      <c r="G8" s="86"/>
      <c r="H8" s="86"/>
      <c r="I8" s="86"/>
      <c r="J8" s="87"/>
    </row>
    <row r="9" spans="2:10">
      <c r="B9" s="88" t="s">
        <v>82</v>
      </c>
      <c r="C9" s="89" t="s">
        <v>83</v>
      </c>
      <c r="D9" s="90" t="s">
        <v>121</v>
      </c>
      <c r="E9" s="465">
        <v>636.38599999999997</v>
      </c>
      <c r="F9" s="465">
        <v>583.6706999999999</v>
      </c>
      <c r="G9" s="465">
        <v>609.79740000000004</v>
      </c>
      <c r="H9" s="465">
        <v>560.29300000000001</v>
      </c>
      <c r="I9" s="465">
        <v>536.68899999999996</v>
      </c>
      <c r="J9" s="466">
        <v>613.66690000000006</v>
      </c>
    </row>
    <row r="10" spans="2:10">
      <c r="B10" s="91" t="s">
        <v>85</v>
      </c>
      <c r="C10" s="92" t="s">
        <v>86</v>
      </c>
      <c r="D10" s="93" t="s">
        <v>121</v>
      </c>
      <c r="E10" s="467">
        <v>1021.05885</v>
      </c>
      <c r="F10" s="467">
        <v>965.51199999999994</v>
      </c>
      <c r="G10" s="467">
        <v>1077.7840000000001</v>
      </c>
      <c r="H10" s="467">
        <v>1038.7039</v>
      </c>
      <c r="I10" s="467">
        <v>1194.7358999999999</v>
      </c>
      <c r="J10" s="468">
        <v>1589.8863999999999</v>
      </c>
    </row>
    <row r="11" spans="2:10">
      <c r="B11" s="91" t="s">
        <v>87</v>
      </c>
      <c r="C11" s="92" t="s">
        <v>88</v>
      </c>
      <c r="D11" s="93" t="s">
        <v>121</v>
      </c>
      <c r="E11" s="467">
        <v>26.996791000000002</v>
      </c>
      <c r="F11" s="467">
        <v>25.1006</v>
      </c>
      <c r="G11" s="467">
        <v>25.728000000000002</v>
      </c>
      <c r="H11" s="467">
        <v>23.418599999999998</v>
      </c>
      <c r="I11" s="467">
        <v>25.547979999999999</v>
      </c>
      <c r="J11" s="468">
        <v>26.480550000000001</v>
      </c>
    </row>
    <row r="12" spans="2:10">
      <c r="B12" s="94" t="s">
        <v>89</v>
      </c>
      <c r="C12" s="95" t="s">
        <v>90</v>
      </c>
      <c r="D12" s="93" t="s">
        <v>121</v>
      </c>
      <c r="E12" s="469">
        <v>722.63350000000003</v>
      </c>
      <c r="F12" s="469">
        <v>566.18016</v>
      </c>
      <c r="G12" s="469">
        <v>562.59291000000007</v>
      </c>
      <c r="H12" s="469">
        <v>707.98986000000002</v>
      </c>
      <c r="I12" s="469">
        <v>535.57315000000006</v>
      </c>
      <c r="J12" s="468">
        <v>684.8453199999999</v>
      </c>
    </row>
    <row r="13" spans="2:10">
      <c r="B13" s="94" t="s">
        <v>91</v>
      </c>
      <c r="C13" s="95" t="s">
        <v>92</v>
      </c>
      <c r="D13" s="93" t="s">
        <v>121</v>
      </c>
      <c r="E13" s="469">
        <v>481.44228000000004</v>
      </c>
      <c r="F13" s="469">
        <v>408.72625099999999</v>
      </c>
      <c r="G13" s="469">
        <v>340.89459499999998</v>
      </c>
      <c r="H13" s="469">
        <v>429.40915999999999</v>
      </c>
      <c r="I13" s="469">
        <v>336.11984000000001</v>
      </c>
      <c r="J13" s="468">
        <v>331.63675000000001</v>
      </c>
    </row>
    <row r="14" spans="2:10">
      <c r="B14" s="94" t="s">
        <v>93</v>
      </c>
      <c r="C14" s="95" t="s">
        <v>94</v>
      </c>
      <c r="D14" s="93" t="s">
        <v>121</v>
      </c>
      <c r="E14" s="469">
        <v>74.383960000000002</v>
      </c>
      <c r="F14" s="469">
        <v>69.754440000000002</v>
      </c>
      <c r="G14" s="469">
        <v>55.406330000000004</v>
      </c>
      <c r="H14" s="469">
        <v>52.896709999999999</v>
      </c>
      <c r="I14" s="469">
        <v>56.559040000000003</v>
      </c>
      <c r="J14" s="468">
        <v>49.94632</v>
      </c>
    </row>
    <row r="15" spans="2:10">
      <c r="B15" s="94" t="s">
        <v>95</v>
      </c>
      <c r="C15" s="95" t="s">
        <v>96</v>
      </c>
      <c r="D15" s="93" t="s">
        <v>121</v>
      </c>
      <c r="E15" s="467">
        <v>25.258650000000003</v>
      </c>
      <c r="F15" s="467">
        <v>34.572150000000001</v>
      </c>
      <c r="G15" s="467">
        <v>41.179699999999997</v>
      </c>
      <c r="H15" s="467">
        <v>29.718900000000001</v>
      </c>
      <c r="I15" s="467">
        <v>31.964680000000001</v>
      </c>
      <c r="J15" s="468">
        <v>36.5137</v>
      </c>
    </row>
    <row r="16" spans="2:10">
      <c r="B16" s="94" t="s">
        <v>97</v>
      </c>
      <c r="C16" s="95" t="s">
        <v>98</v>
      </c>
      <c r="D16" s="93" t="s">
        <v>121</v>
      </c>
      <c r="E16" s="469">
        <v>170.77470399999999</v>
      </c>
      <c r="F16" s="469">
        <v>125.79750199999999</v>
      </c>
      <c r="G16" s="469">
        <v>39.805250000000001</v>
      </c>
      <c r="H16" s="469">
        <v>40.762706999999999</v>
      </c>
      <c r="I16" s="469">
        <v>67.126761999999999</v>
      </c>
      <c r="J16" s="468">
        <v>65.064899999999994</v>
      </c>
    </row>
    <row r="17" spans="2:10">
      <c r="B17" s="94" t="s">
        <v>99</v>
      </c>
      <c r="C17" s="95" t="s">
        <v>100</v>
      </c>
      <c r="D17" s="93" t="s">
        <v>121</v>
      </c>
      <c r="E17" s="469">
        <v>38.630000000000003</v>
      </c>
      <c r="F17" s="469">
        <v>36.581540000000004</v>
      </c>
      <c r="G17" s="469">
        <v>28.175459999999998</v>
      </c>
      <c r="H17" s="469">
        <v>20.692</v>
      </c>
      <c r="I17" s="469">
        <v>16.707999999999998</v>
      </c>
      <c r="J17" s="468">
        <v>21.82</v>
      </c>
    </row>
    <row r="18" spans="2:10">
      <c r="B18" s="94" t="s">
        <v>101</v>
      </c>
      <c r="C18" s="95" t="s">
        <v>102</v>
      </c>
      <c r="D18" s="93" t="s">
        <v>121</v>
      </c>
      <c r="E18" s="467">
        <v>12.50665</v>
      </c>
      <c r="F18" s="467">
        <v>12.568100000000001</v>
      </c>
      <c r="G18" s="467">
        <v>12.614000000000001</v>
      </c>
      <c r="H18" s="467">
        <v>14.071249999999999</v>
      </c>
      <c r="I18" s="467">
        <v>21.047249999999998</v>
      </c>
      <c r="J18" s="468">
        <v>19.751999999999999</v>
      </c>
    </row>
    <row r="19" spans="2:10">
      <c r="B19" s="96" t="s">
        <v>103</v>
      </c>
      <c r="C19" s="97" t="s">
        <v>104</v>
      </c>
      <c r="D19" s="98" t="s">
        <v>121</v>
      </c>
      <c r="E19" s="110">
        <v>3210.0713850000002</v>
      </c>
      <c r="F19" s="110">
        <v>2828.4634430000001</v>
      </c>
      <c r="G19" s="110">
        <v>2793.9776449999999</v>
      </c>
      <c r="H19" s="110">
        <v>2917.956087</v>
      </c>
      <c r="I19" s="110">
        <v>2822.071602</v>
      </c>
      <c r="J19" s="111">
        <v>3439.6128400000002</v>
      </c>
    </row>
    <row r="20" spans="2:10">
      <c r="B20" s="82" t="s">
        <v>105</v>
      </c>
      <c r="C20" s="83"/>
      <c r="D20" s="84"/>
      <c r="E20" s="85"/>
      <c r="F20" s="103"/>
      <c r="G20" s="103"/>
      <c r="H20" s="103"/>
      <c r="I20" s="103"/>
      <c r="J20" s="103"/>
    </row>
    <row r="21" spans="2:10" ht="15" customHeight="1">
      <c r="B21" s="91" t="s">
        <v>106</v>
      </c>
      <c r="C21" s="92" t="s">
        <v>83</v>
      </c>
      <c r="D21" s="93" t="s">
        <v>121</v>
      </c>
      <c r="E21" s="467">
        <v>2</v>
      </c>
      <c r="F21" s="467">
        <v>5</v>
      </c>
      <c r="G21" s="467">
        <v>3</v>
      </c>
      <c r="H21" s="467">
        <v>5</v>
      </c>
      <c r="I21" s="467">
        <v>4</v>
      </c>
      <c r="J21" s="467">
        <v>6</v>
      </c>
    </row>
    <row r="22" spans="2:10" ht="15" customHeight="1">
      <c r="B22" s="94" t="s">
        <v>107</v>
      </c>
      <c r="C22" s="95" t="s">
        <v>86</v>
      </c>
      <c r="D22" s="93" t="s">
        <v>121</v>
      </c>
      <c r="E22" s="460">
        <v>0</v>
      </c>
      <c r="F22" s="460">
        <v>0</v>
      </c>
      <c r="G22" s="460">
        <v>0</v>
      </c>
      <c r="H22" s="460">
        <v>0</v>
      </c>
      <c r="I22" s="460">
        <v>0</v>
      </c>
      <c r="J22" s="460">
        <v>0</v>
      </c>
    </row>
    <row r="23" spans="2:10" ht="15" customHeight="1">
      <c r="B23" s="94" t="s">
        <v>108</v>
      </c>
      <c r="C23" s="95" t="s">
        <v>88</v>
      </c>
      <c r="D23" s="93" t="s">
        <v>121</v>
      </c>
      <c r="E23" s="467">
        <v>7</v>
      </c>
      <c r="F23" s="467">
        <v>17</v>
      </c>
      <c r="G23" s="467">
        <v>26</v>
      </c>
      <c r="H23" s="467">
        <v>28</v>
      </c>
      <c r="I23" s="467">
        <v>30</v>
      </c>
      <c r="J23" s="467">
        <v>36</v>
      </c>
    </row>
    <row r="24" spans="2:10" ht="15" customHeight="1">
      <c r="B24" s="94" t="s">
        <v>109</v>
      </c>
      <c r="C24" s="95" t="s">
        <v>90</v>
      </c>
      <c r="D24" s="93" t="s">
        <v>121</v>
      </c>
      <c r="E24" s="467">
        <v>116</v>
      </c>
      <c r="F24" s="467">
        <v>120</v>
      </c>
      <c r="G24" s="467">
        <v>114</v>
      </c>
      <c r="H24" s="467">
        <v>123</v>
      </c>
      <c r="I24" s="467">
        <v>132</v>
      </c>
      <c r="J24" s="467">
        <v>164</v>
      </c>
    </row>
    <row r="25" spans="2:10" ht="15" customHeight="1">
      <c r="B25" s="94" t="s">
        <v>110</v>
      </c>
      <c r="C25" s="95" t="s">
        <v>92</v>
      </c>
      <c r="D25" s="93" t="s">
        <v>121</v>
      </c>
      <c r="E25" s="467">
        <v>187</v>
      </c>
      <c r="F25" s="467">
        <v>186</v>
      </c>
      <c r="G25" s="467">
        <v>199</v>
      </c>
      <c r="H25" s="467">
        <v>205</v>
      </c>
      <c r="I25" s="468">
        <v>247</v>
      </c>
      <c r="J25" s="467">
        <v>192</v>
      </c>
    </row>
    <row r="26" spans="2:10" ht="15" customHeight="1">
      <c r="B26" s="94" t="s">
        <v>111</v>
      </c>
      <c r="C26" s="95" t="s">
        <v>94</v>
      </c>
      <c r="D26" s="93" t="s">
        <v>121</v>
      </c>
      <c r="E26" s="460">
        <v>0</v>
      </c>
      <c r="F26" s="460">
        <v>0</v>
      </c>
      <c r="G26" s="460">
        <v>0</v>
      </c>
      <c r="H26" s="460">
        <v>0</v>
      </c>
      <c r="I26" s="460">
        <v>0</v>
      </c>
      <c r="J26" s="460">
        <v>0</v>
      </c>
    </row>
    <row r="27" spans="2:10" ht="15" customHeight="1">
      <c r="B27" s="94" t="s">
        <v>112</v>
      </c>
      <c r="C27" s="95" t="s">
        <v>96</v>
      </c>
      <c r="D27" s="93" t="s">
        <v>121</v>
      </c>
      <c r="E27" s="460">
        <v>0</v>
      </c>
      <c r="F27" s="460">
        <v>0</v>
      </c>
      <c r="G27" s="460">
        <v>0</v>
      </c>
      <c r="H27" s="460">
        <v>0</v>
      </c>
      <c r="I27" s="460">
        <v>0</v>
      </c>
      <c r="J27" s="460">
        <v>0</v>
      </c>
    </row>
    <row r="28" spans="2:10" ht="15" customHeight="1">
      <c r="B28" s="94" t="s">
        <v>113</v>
      </c>
      <c r="C28" s="95" t="s">
        <v>98</v>
      </c>
      <c r="D28" s="93" t="s">
        <v>121</v>
      </c>
      <c r="E28" s="467">
        <v>42</v>
      </c>
      <c r="F28" s="467">
        <v>43</v>
      </c>
      <c r="G28" s="467">
        <v>47</v>
      </c>
      <c r="H28" s="467">
        <v>44</v>
      </c>
      <c r="I28" s="467">
        <v>66</v>
      </c>
      <c r="J28" s="467">
        <v>60</v>
      </c>
    </row>
    <row r="29" spans="2:10" ht="15" customHeight="1">
      <c r="B29" s="94" t="s">
        <v>114</v>
      </c>
      <c r="C29" s="95" t="s">
        <v>100</v>
      </c>
      <c r="D29" s="93" t="s">
        <v>121</v>
      </c>
      <c r="E29" s="460">
        <v>0</v>
      </c>
      <c r="F29" s="460">
        <v>0</v>
      </c>
      <c r="G29" s="460">
        <v>0</v>
      </c>
      <c r="H29" s="460">
        <v>0</v>
      </c>
      <c r="I29" s="460">
        <v>0</v>
      </c>
      <c r="J29" s="460">
        <v>0</v>
      </c>
    </row>
    <row r="30" spans="2:10" ht="15" customHeight="1">
      <c r="B30" s="94" t="s">
        <v>115</v>
      </c>
      <c r="C30" s="95" t="s">
        <v>102</v>
      </c>
      <c r="D30" s="93" t="s">
        <v>121</v>
      </c>
      <c r="E30" s="467">
        <v>216</v>
      </c>
      <c r="F30" s="467">
        <v>159</v>
      </c>
      <c r="G30" s="467">
        <v>55.04</v>
      </c>
      <c r="H30" s="467">
        <v>119.685</v>
      </c>
      <c r="I30" s="468">
        <v>138</v>
      </c>
      <c r="J30" s="467">
        <v>173</v>
      </c>
    </row>
    <row r="31" spans="2:10" ht="15" customHeight="1">
      <c r="B31" s="96" t="s">
        <v>116</v>
      </c>
      <c r="C31" s="97" t="s">
        <v>117</v>
      </c>
      <c r="D31" s="104" t="s">
        <v>121</v>
      </c>
      <c r="E31" s="112">
        <f>SUM(E21:E30)</f>
        <v>570</v>
      </c>
      <c r="F31" s="112">
        <f t="shared" ref="F31:J31" si="0">SUM(F21:F30)</f>
        <v>530</v>
      </c>
      <c r="G31" s="112">
        <f t="shared" si="0"/>
        <v>444.04</v>
      </c>
      <c r="H31" s="112">
        <f t="shared" si="0"/>
        <v>524.68499999999995</v>
      </c>
      <c r="I31" s="112">
        <f t="shared" si="0"/>
        <v>617</v>
      </c>
      <c r="J31" s="112">
        <f t="shared" si="0"/>
        <v>631</v>
      </c>
    </row>
    <row r="32" spans="2:10" ht="15" customHeight="1">
      <c r="B32" s="82" t="s">
        <v>118</v>
      </c>
      <c r="C32" s="97"/>
      <c r="D32" s="104"/>
      <c r="E32" s="106"/>
      <c r="F32" s="103"/>
      <c r="G32" s="103"/>
      <c r="H32" s="103"/>
      <c r="I32" s="103"/>
      <c r="J32" s="103"/>
    </row>
    <row r="33" spans="2:10" ht="15" customHeight="1">
      <c r="B33" s="91" t="s">
        <v>106</v>
      </c>
      <c r="C33" s="92" t="s">
        <v>83</v>
      </c>
      <c r="D33" s="93" t="s">
        <v>121</v>
      </c>
      <c r="E33" s="467">
        <f>+E21+E9</f>
        <v>638.38599999999997</v>
      </c>
      <c r="F33" s="467">
        <f t="shared" ref="F33:J33" si="1">+F21+F9</f>
        <v>588.6706999999999</v>
      </c>
      <c r="G33" s="467">
        <f t="shared" si="1"/>
        <v>612.79740000000004</v>
      </c>
      <c r="H33" s="467">
        <f t="shared" si="1"/>
        <v>565.29300000000001</v>
      </c>
      <c r="I33" s="467">
        <f t="shared" si="1"/>
        <v>540.68899999999996</v>
      </c>
      <c r="J33" s="467">
        <f t="shared" si="1"/>
        <v>619.66690000000006</v>
      </c>
    </row>
    <row r="34" spans="2:10" ht="15" customHeight="1">
      <c r="B34" s="94" t="s">
        <v>107</v>
      </c>
      <c r="C34" s="95" t="s">
        <v>86</v>
      </c>
      <c r="D34" s="93" t="s">
        <v>121</v>
      </c>
      <c r="E34" s="467">
        <f t="shared" ref="E34:J42" si="2">+E22+E10</f>
        <v>1021.05885</v>
      </c>
      <c r="F34" s="467">
        <f t="shared" si="2"/>
        <v>965.51199999999994</v>
      </c>
      <c r="G34" s="467">
        <f t="shared" si="2"/>
        <v>1077.7840000000001</v>
      </c>
      <c r="H34" s="467">
        <f t="shared" si="2"/>
        <v>1038.7039</v>
      </c>
      <c r="I34" s="467">
        <f t="shared" si="2"/>
        <v>1194.7358999999999</v>
      </c>
      <c r="J34" s="467">
        <f t="shared" si="2"/>
        <v>1589.8863999999999</v>
      </c>
    </row>
    <row r="35" spans="2:10" ht="15" customHeight="1">
      <c r="B35" s="94" t="s">
        <v>108</v>
      </c>
      <c r="C35" s="95" t="s">
        <v>88</v>
      </c>
      <c r="D35" s="93" t="s">
        <v>121</v>
      </c>
      <c r="E35" s="467">
        <f t="shared" si="2"/>
        <v>33.996791000000002</v>
      </c>
      <c r="F35" s="467">
        <f t="shared" si="2"/>
        <v>42.1006</v>
      </c>
      <c r="G35" s="467">
        <f t="shared" si="2"/>
        <v>51.728000000000002</v>
      </c>
      <c r="H35" s="467">
        <f t="shared" si="2"/>
        <v>51.418599999999998</v>
      </c>
      <c r="I35" s="467">
        <f t="shared" si="2"/>
        <v>55.547979999999995</v>
      </c>
      <c r="J35" s="467">
        <f t="shared" si="2"/>
        <v>62.480550000000001</v>
      </c>
    </row>
    <row r="36" spans="2:10" ht="15" customHeight="1">
      <c r="B36" s="94" t="s">
        <v>109</v>
      </c>
      <c r="C36" s="95" t="s">
        <v>90</v>
      </c>
      <c r="D36" s="93" t="s">
        <v>121</v>
      </c>
      <c r="E36" s="467">
        <f t="shared" si="2"/>
        <v>838.63350000000003</v>
      </c>
      <c r="F36" s="467">
        <f t="shared" si="2"/>
        <v>686.18016</v>
      </c>
      <c r="G36" s="467">
        <f t="shared" si="2"/>
        <v>676.59291000000007</v>
      </c>
      <c r="H36" s="467">
        <f t="shared" si="2"/>
        <v>830.98986000000002</v>
      </c>
      <c r="I36" s="467">
        <f t="shared" si="2"/>
        <v>667.57315000000006</v>
      </c>
      <c r="J36" s="467">
        <f t="shared" si="2"/>
        <v>848.8453199999999</v>
      </c>
    </row>
    <row r="37" spans="2:10" ht="15" customHeight="1">
      <c r="B37" s="94" t="s">
        <v>110</v>
      </c>
      <c r="C37" s="95" t="s">
        <v>92</v>
      </c>
      <c r="D37" s="93" t="s">
        <v>121</v>
      </c>
      <c r="E37" s="467">
        <f t="shared" si="2"/>
        <v>668.44227999999998</v>
      </c>
      <c r="F37" s="467">
        <f t="shared" si="2"/>
        <v>594.72625100000005</v>
      </c>
      <c r="G37" s="467">
        <f t="shared" si="2"/>
        <v>539.89459499999998</v>
      </c>
      <c r="H37" s="467">
        <f t="shared" si="2"/>
        <v>634.40915999999993</v>
      </c>
      <c r="I37" s="467">
        <f t="shared" si="2"/>
        <v>583.11984000000007</v>
      </c>
      <c r="J37" s="467">
        <f t="shared" si="2"/>
        <v>523.63675000000001</v>
      </c>
    </row>
    <row r="38" spans="2:10" ht="15" customHeight="1">
      <c r="B38" s="94" t="s">
        <v>111</v>
      </c>
      <c r="C38" s="95" t="s">
        <v>94</v>
      </c>
      <c r="D38" s="93" t="s">
        <v>121</v>
      </c>
      <c r="E38" s="467">
        <f t="shared" si="2"/>
        <v>74.383960000000002</v>
      </c>
      <c r="F38" s="467">
        <f t="shared" si="2"/>
        <v>69.754440000000002</v>
      </c>
      <c r="G38" s="467">
        <f t="shared" si="2"/>
        <v>55.406330000000004</v>
      </c>
      <c r="H38" s="467">
        <f t="shared" si="2"/>
        <v>52.896709999999999</v>
      </c>
      <c r="I38" s="467">
        <f t="shared" si="2"/>
        <v>56.559040000000003</v>
      </c>
      <c r="J38" s="467">
        <f t="shared" si="2"/>
        <v>49.94632</v>
      </c>
    </row>
    <row r="39" spans="2:10" ht="15" customHeight="1">
      <c r="B39" s="94" t="s">
        <v>112</v>
      </c>
      <c r="C39" s="95" t="s">
        <v>96</v>
      </c>
      <c r="D39" s="93" t="s">
        <v>121</v>
      </c>
      <c r="E39" s="467">
        <f t="shared" si="2"/>
        <v>25.258650000000003</v>
      </c>
      <c r="F39" s="467">
        <f t="shared" si="2"/>
        <v>34.572150000000001</v>
      </c>
      <c r="G39" s="467">
        <f t="shared" si="2"/>
        <v>41.179699999999997</v>
      </c>
      <c r="H39" s="467">
        <f t="shared" si="2"/>
        <v>29.718900000000001</v>
      </c>
      <c r="I39" s="467">
        <f t="shared" si="2"/>
        <v>31.964680000000001</v>
      </c>
      <c r="J39" s="467">
        <f t="shared" si="2"/>
        <v>36.5137</v>
      </c>
    </row>
    <row r="40" spans="2:10" ht="15" customHeight="1">
      <c r="B40" s="94" t="s">
        <v>113</v>
      </c>
      <c r="C40" s="95" t="s">
        <v>98</v>
      </c>
      <c r="D40" s="93" t="s">
        <v>121</v>
      </c>
      <c r="E40" s="467">
        <f t="shared" si="2"/>
        <v>212.77470399999999</v>
      </c>
      <c r="F40" s="467">
        <f t="shared" si="2"/>
        <v>168.79750200000001</v>
      </c>
      <c r="G40" s="467">
        <f t="shared" si="2"/>
        <v>86.805250000000001</v>
      </c>
      <c r="H40" s="467">
        <f t="shared" si="2"/>
        <v>84.762707000000006</v>
      </c>
      <c r="I40" s="467">
        <f t="shared" si="2"/>
        <v>133.12676199999999</v>
      </c>
      <c r="J40" s="467">
        <f t="shared" si="2"/>
        <v>125.06489999999999</v>
      </c>
    </row>
    <row r="41" spans="2:10" ht="15" customHeight="1">
      <c r="B41" s="94" t="s">
        <v>114</v>
      </c>
      <c r="C41" s="95" t="s">
        <v>100</v>
      </c>
      <c r="D41" s="93" t="s">
        <v>121</v>
      </c>
      <c r="E41" s="467">
        <f t="shared" si="2"/>
        <v>38.630000000000003</v>
      </c>
      <c r="F41" s="467">
        <f t="shared" si="2"/>
        <v>36.581540000000004</v>
      </c>
      <c r="G41" s="467">
        <f t="shared" si="2"/>
        <v>28.175459999999998</v>
      </c>
      <c r="H41" s="467">
        <f t="shared" si="2"/>
        <v>20.692</v>
      </c>
      <c r="I41" s="467">
        <f t="shared" si="2"/>
        <v>16.707999999999998</v>
      </c>
      <c r="J41" s="467">
        <f t="shared" si="2"/>
        <v>21.82</v>
      </c>
    </row>
    <row r="42" spans="2:10" ht="15" customHeight="1">
      <c r="B42" s="94" t="s">
        <v>115</v>
      </c>
      <c r="C42" s="95" t="s">
        <v>102</v>
      </c>
      <c r="D42" s="93" t="s">
        <v>121</v>
      </c>
      <c r="E42" s="467">
        <f t="shared" si="2"/>
        <v>228.50665000000001</v>
      </c>
      <c r="F42" s="467">
        <f t="shared" si="2"/>
        <v>171.56810000000002</v>
      </c>
      <c r="G42" s="467">
        <f t="shared" si="2"/>
        <v>67.653999999999996</v>
      </c>
      <c r="H42" s="467">
        <f t="shared" si="2"/>
        <v>133.75624999999999</v>
      </c>
      <c r="I42" s="467">
        <f t="shared" si="2"/>
        <v>159.04724999999999</v>
      </c>
      <c r="J42" s="467">
        <f t="shared" si="2"/>
        <v>192.75200000000001</v>
      </c>
    </row>
    <row r="43" spans="2:10" ht="15" customHeight="1">
      <c r="B43" s="96" t="s">
        <v>116</v>
      </c>
      <c r="C43" s="97" t="s">
        <v>119</v>
      </c>
      <c r="D43" s="104" t="s">
        <v>121</v>
      </c>
      <c r="E43" s="112">
        <f>SUM(E33:E42)</f>
        <v>3780.0713849999997</v>
      </c>
      <c r="F43" s="112">
        <f t="shared" ref="F43:J43" si="3">SUM(F33:F42)</f>
        <v>3358.4634430000001</v>
      </c>
      <c r="G43" s="112">
        <f t="shared" si="3"/>
        <v>3238.0176449999999</v>
      </c>
      <c r="H43" s="112">
        <f t="shared" si="3"/>
        <v>3442.6410869999995</v>
      </c>
      <c r="I43" s="112">
        <f t="shared" si="3"/>
        <v>3439.071602</v>
      </c>
      <c r="J43" s="112">
        <f t="shared" si="3"/>
        <v>4070.6128400000002</v>
      </c>
    </row>
    <row r="44" spans="2:10" ht="15" customHeight="1">
      <c r="F44" s="108"/>
      <c r="G44" s="108"/>
      <c r="H44" s="108"/>
      <c r="I44" s="108"/>
      <c r="J44" s="108"/>
    </row>
    <row r="45" spans="2:10" ht="15" customHeight="1">
      <c r="E45" s="113"/>
      <c r="F45" s="113"/>
      <c r="G45" s="113"/>
      <c r="H45" s="113"/>
      <c r="I45" s="113"/>
      <c r="J45" s="113"/>
    </row>
  </sheetData>
  <mergeCells count="1">
    <mergeCell ref="B7:C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9">
    <tabColor rgb="FFFFFF00"/>
  </sheetPr>
  <dimension ref="B1:H36"/>
  <sheetViews>
    <sheetView showGridLines="0" workbookViewId="0">
      <selection activeCell="C34" sqref="C34"/>
    </sheetView>
  </sheetViews>
  <sheetFormatPr defaultColWidth="8.7109375" defaultRowHeight="15"/>
  <cols>
    <col min="1" max="1" width="2.85546875" customWidth="1"/>
    <col min="2" max="2" width="50" customWidth="1"/>
    <col min="3" max="8" width="13.140625" customWidth="1"/>
  </cols>
  <sheetData>
    <row r="1" spans="2:8" ht="15.75" thickBot="1"/>
    <row r="2" spans="2:8" ht="18.75" customHeight="1">
      <c r="B2" s="669" t="s">
        <v>181</v>
      </c>
      <c r="C2" s="670"/>
      <c r="D2" s="670"/>
      <c r="E2" s="670"/>
      <c r="F2" s="670"/>
      <c r="G2" s="670"/>
      <c r="H2" s="671"/>
    </row>
    <row r="3" spans="2:8" ht="18.75" customHeight="1">
      <c r="B3" s="672"/>
      <c r="C3" s="673"/>
      <c r="D3" s="673"/>
      <c r="E3" s="673"/>
      <c r="F3" s="673"/>
      <c r="G3" s="673"/>
      <c r="H3" s="674"/>
    </row>
    <row r="4" spans="2:8" ht="18.75" customHeight="1" thickBot="1">
      <c r="B4" s="675"/>
      <c r="C4" s="676"/>
      <c r="D4" s="676"/>
      <c r="E4" s="676"/>
      <c r="F4" s="676"/>
      <c r="G4" s="676"/>
      <c r="H4" s="677"/>
    </row>
    <row r="5" spans="2:8" ht="33" customHeight="1">
      <c r="B5" s="149"/>
      <c r="C5" s="150">
        <v>2021</v>
      </c>
      <c r="D5" s="150">
        <v>2022</v>
      </c>
      <c r="E5" s="150">
        <v>2023</v>
      </c>
      <c r="F5" s="150">
        <v>2024</v>
      </c>
      <c r="G5" s="150">
        <v>2025</v>
      </c>
      <c r="H5" s="150">
        <v>2026</v>
      </c>
    </row>
    <row r="6" spans="2:8">
      <c r="B6" s="142" t="s">
        <v>182</v>
      </c>
      <c r="C6" s="470">
        <v>0</v>
      </c>
      <c r="D6" s="470">
        <v>0</v>
      </c>
      <c r="E6" s="470">
        <v>0</v>
      </c>
      <c r="F6" s="470">
        <v>0</v>
      </c>
      <c r="G6" s="470">
        <v>0</v>
      </c>
      <c r="H6" s="153" t="s">
        <v>0</v>
      </c>
    </row>
    <row r="7" spans="2:8">
      <c r="B7" s="145" t="s">
        <v>183</v>
      </c>
      <c r="C7" s="143"/>
      <c r="D7" s="143"/>
      <c r="E7" s="143"/>
      <c r="F7" s="143"/>
      <c r="G7" s="143"/>
      <c r="H7" s="144"/>
    </row>
    <row r="8" spans="2:8">
      <c r="B8" s="145" t="s">
        <v>184</v>
      </c>
      <c r="C8" s="143"/>
      <c r="D8" s="143"/>
      <c r="E8" s="143"/>
      <c r="F8" s="143"/>
      <c r="G8" s="143"/>
      <c r="H8" s="144"/>
    </row>
    <row r="9" spans="2:8">
      <c r="B9" s="145" t="s">
        <v>185</v>
      </c>
      <c r="C9" s="143"/>
      <c r="D9" s="143"/>
      <c r="E9" s="143"/>
      <c r="F9" s="143"/>
      <c r="G9" s="143"/>
      <c r="H9" s="144"/>
    </row>
    <row r="10" spans="2:8">
      <c r="B10" s="145" t="s">
        <v>186</v>
      </c>
      <c r="C10" s="143"/>
      <c r="D10" s="143"/>
      <c r="E10" s="143"/>
      <c r="F10" s="143"/>
      <c r="G10" s="143"/>
      <c r="H10" s="144"/>
    </row>
    <row r="11" spans="2:8">
      <c r="B11" s="145" t="s">
        <v>187</v>
      </c>
      <c r="C11" s="143"/>
      <c r="D11" s="143"/>
      <c r="E11" s="143"/>
      <c r="F11" s="143"/>
      <c r="G11" s="143"/>
      <c r="H11" s="144"/>
    </row>
    <row r="12" spans="2:8">
      <c r="B12" s="145" t="s">
        <v>188</v>
      </c>
      <c r="C12" s="143"/>
      <c r="D12" s="143"/>
      <c r="E12" s="143"/>
      <c r="F12" s="143"/>
      <c r="G12" s="143"/>
      <c r="H12" s="144"/>
    </row>
    <row r="13" spans="2:8">
      <c r="B13" s="145" t="s">
        <v>189</v>
      </c>
      <c r="C13" s="143"/>
      <c r="D13" s="143"/>
      <c r="E13" s="143"/>
      <c r="F13" s="143"/>
      <c r="G13" s="143"/>
      <c r="H13" s="144"/>
    </row>
    <row r="14" spans="2:8">
      <c r="B14" s="145" t="s">
        <v>190</v>
      </c>
      <c r="C14" s="143"/>
      <c r="D14" s="143"/>
      <c r="E14" s="143"/>
      <c r="F14" s="143"/>
      <c r="G14" s="143"/>
      <c r="H14" s="144"/>
    </row>
    <row r="15" spans="2:8">
      <c r="B15" s="142" t="s">
        <v>191</v>
      </c>
      <c r="C15" s="470">
        <v>0</v>
      </c>
      <c r="D15" s="470">
        <v>0</v>
      </c>
      <c r="E15" s="470">
        <v>0</v>
      </c>
      <c r="F15" s="471" t="s">
        <v>192</v>
      </c>
      <c r="G15" s="471" t="s">
        <v>192</v>
      </c>
      <c r="H15" s="153" t="s">
        <v>0</v>
      </c>
    </row>
    <row r="16" spans="2:8">
      <c r="B16" s="145" t="s">
        <v>193</v>
      </c>
      <c r="C16" s="143"/>
      <c r="D16" s="143"/>
      <c r="E16" s="143"/>
      <c r="F16" s="143"/>
      <c r="G16" s="143"/>
      <c r="H16" s="144"/>
    </row>
    <row r="17" spans="2:8">
      <c r="B17" s="145" t="s">
        <v>185</v>
      </c>
      <c r="C17" s="143"/>
      <c r="D17" s="143"/>
      <c r="E17" s="143"/>
      <c r="F17" s="143"/>
      <c r="G17" s="143"/>
      <c r="H17" s="144"/>
    </row>
    <row r="18" spans="2:8">
      <c r="B18" s="145" t="s">
        <v>194</v>
      </c>
      <c r="C18" s="143"/>
      <c r="D18" s="143"/>
      <c r="E18" s="143"/>
      <c r="F18" s="143"/>
      <c r="G18" s="143"/>
      <c r="H18" s="144"/>
    </row>
    <row r="19" spans="2:8">
      <c r="B19" s="145" t="s">
        <v>195</v>
      </c>
      <c r="C19" s="143"/>
      <c r="D19" s="143"/>
      <c r="E19" s="143"/>
      <c r="F19" s="143"/>
      <c r="G19" s="143"/>
      <c r="H19" s="144"/>
    </row>
    <row r="20" spans="2:8">
      <c r="B20" s="145" t="s">
        <v>196</v>
      </c>
      <c r="C20" s="143"/>
      <c r="D20" s="143"/>
      <c r="E20" s="143"/>
      <c r="F20" s="143"/>
      <c r="G20" s="143"/>
      <c r="H20" s="144"/>
    </row>
    <row r="21" spans="2:8">
      <c r="B21" s="142" t="s">
        <v>197</v>
      </c>
      <c r="C21" s="143"/>
      <c r="D21" s="143"/>
      <c r="E21" s="143"/>
      <c r="F21" s="143"/>
      <c r="G21" s="143"/>
      <c r="H21" s="144"/>
    </row>
    <row r="22" spans="2:8">
      <c r="B22" s="145" t="s">
        <v>198</v>
      </c>
      <c r="C22" s="143"/>
      <c r="D22" s="143"/>
      <c r="E22" s="143"/>
      <c r="F22" s="143"/>
      <c r="G22" s="143"/>
      <c r="H22" s="144"/>
    </row>
    <row r="23" spans="2:8">
      <c r="B23" s="151" t="s">
        <v>199</v>
      </c>
      <c r="C23" s="472">
        <v>0</v>
      </c>
      <c r="D23" s="472">
        <v>0</v>
      </c>
      <c r="E23" s="472">
        <v>0</v>
      </c>
      <c r="F23" s="472">
        <v>0</v>
      </c>
      <c r="G23" s="472">
        <v>0</v>
      </c>
      <c r="H23" s="153" t="s">
        <v>0</v>
      </c>
    </row>
    <row r="24" spans="2:8">
      <c r="B24" s="151" t="s">
        <v>200</v>
      </c>
      <c r="C24" s="472">
        <v>0</v>
      </c>
      <c r="D24" s="472">
        <v>0</v>
      </c>
      <c r="E24" s="472">
        <v>0</v>
      </c>
      <c r="F24" s="472">
        <v>0</v>
      </c>
      <c r="G24" s="472">
        <v>0</v>
      </c>
      <c r="H24" s="153" t="s">
        <v>0</v>
      </c>
    </row>
    <row r="25" spans="2:8">
      <c r="B25" s="152" t="s">
        <v>201</v>
      </c>
      <c r="C25" s="143">
        <f>SUM(C23,C24)</f>
        <v>0</v>
      </c>
      <c r="D25" s="143">
        <f>SUM(D23,D24)</f>
        <v>0</v>
      </c>
      <c r="E25" s="143">
        <f t="shared" ref="E25:G25" si="0">SUM(E23,E24)</f>
        <v>0</v>
      </c>
      <c r="F25" s="143">
        <f t="shared" si="0"/>
        <v>0</v>
      </c>
      <c r="G25" s="143">
        <f t="shared" si="0"/>
        <v>0</v>
      </c>
      <c r="H25" s="153" t="s">
        <v>0</v>
      </c>
    </row>
    <row r="26" spans="2:8">
      <c r="B26" s="145" t="s">
        <v>202</v>
      </c>
      <c r="C26" s="143"/>
      <c r="D26" s="143"/>
      <c r="E26" s="143"/>
      <c r="F26" s="143"/>
      <c r="G26" s="143"/>
      <c r="H26" s="144"/>
    </row>
    <row r="27" spans="2:8">
      <c r="B27" s="145" t="s">
        <v>45</v>
      </c>
      <c r="C27" s="143"/>
      <c r="D27" s="143"/>
      <c r="E27" s="143"/>
      <c r="F27" s="143"/>
      <c r="G27" s="143"/>
      <c r="H27" s="144"/>
    </row>
    <row r="28" spans="2:8">
      <c r="B28" s="146" t="s">
        <v>201</v>
      </c>
      <c r="C28" s="418">
        <f>SUM(C6+C15+C25)</f>
        <v>0</v>
      </c>
      <c r="D28" s="147">
        <f>SUM(D6+D15+D25)</f>
        <v>0</v>
      </c>
      <c r="E28" s="147">
        <f>SUM(E6+E15+E25)</f>
        <v>0</v>
      </c>
      <c r="F28" s="147">
        <f>SUM(F6+F25)</f>
        <v>0</v>
      </c>
      <c r="G28" s="147">
        <f>SUM(G6+G25)</f>
        <v>0</v>
      </c>
      <c r="H28" s="148"/>
    </row>
    <row r="29" spans="2:8">
      <c r="B29" t="s">
        <v>203</v>
      </c>
      <c r="C29" s="3">
        <v>44348</v>
      </c>
    </row>
    <row r="30" spans="2:8">
      <c r="C30" s="326">
        <v>2021</v>
      </c>
      <c r="D30" s="326">
        <v>2022</v>
      </c>
      <c r="E30" s="326">
        <v>2023</v>
      </c>
      <c r="F30" s="326">
        <v>2024</v>
      </c>
      <c r="G30" s="326">
        <v>2025</v>
      </c>
    </row>
    <row r="31" spans="2:8">
      <c r="B31" t="s">
        <v>333</v>
      </c>
      <c r="C31" s="419">
        <v>0</v>
      </c>
      <c r="D31" s="140">
        <f>D6*1000</f>
        <v>0</v>
      </c>
      <c r="E31" s="140">
        <f t="shared" ref="E31:G31" si="1">E6*1000</f>
        <v>0</v>
      </c>
      <c r="F31" s="140">
        <f t="shared" si="1"/>
        <v>0</v>
      </c>
      <c r="G31" s="140">
        <f t="shared" si="1"/>
        <v>0</v>
      </c>
    </row>
    <row r="32" spans="2:8">
      <c r="B32" s="3" t="s">
        <v>334</v>
      </c>
      <c r="C32" s="419">
        <v>0</v>
      </c>
      <c r="D32" s="140">
        <f>D15*1000</f>
        <v>0</v>
      </c>
      <c r="E32" s="140">
        <f t="shared" ref="E32" si="2">E15*1000</f>
        <v>0</v>
      </c>
      <c r="F32" s="140">
        <v>0</v>
      </c>
      <c r="G32" s="140">
        <v>0</v>
      </c>
    </row>
    <row r="33" spans="2:7">
      <c r="B33" t="s">
        <v>197</v>
      </c>
      <c r="C33" s="419">
        <v>0</v>
      </c>
      <c r="D33" s="140">
        <f>D25*1000</f>
        <v>0</v>
      </c>
      <c r="E33" s="140">
        <f t="shared" ref="E33:G33" si="3">E25*1000</f>
        <v>0</v>
      </c>
      <c r="F33" s="140">
        <f t="shared" si="3"/>
        <v>0</v>
      </c>
      <c r="G33" s="140">
        <f t="shared" si="3"/>
        <v>0</v>
      </c>
    </row>
    <row r="34" spans="2:7" ht="15.75">
      <c r="B34" s="154" t="s">
        <v>204</v>
      </c>
      <c r="C34" s="140"/>
    </row>
    <row r="35" spans="2:7" ht="15.75">
      <c r="B35" s="154" t="s">
        <v>205</v>
      </c>
    </row>
    <row r="36" spans="2:7" ht="15.75">
      <c r="B36" s="154" t="s">
        <v>206</v>
      </c>
    </row>
  </sheetData>
  <mergeCells count="1">
    <mergeCell ref="B2:H4"/>
  </mergeCells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2">
    <tabColor theme="9" tint="-0.249977111117893"/>
  </sheetPr>
  <dimension ref="A1:AT31"/>
  <sheetViews>
    <sheetView showGridLines="0" zoomScale="80" zoomScaleNormal="80" workbookViewId="0">
      <selection activeCell="B2" sqref="B2:B3"/>
    </sheetView>
  </sheetViews>
  <sheetFormatPr defaultColWidth="0" defaultRowHeight="15" zeroHeight="1"/>
  <cols>
    <col min="1" max="1" width="2.7109375" customWidth="1"/>
    <col min="2" max="2" width="39.5703125" customWidth="1"/>
    <col min="3" max="3" width="16" customWidth="1"/>
    <col min="4" max="8" width="17" customWidth="1"/>
    <col min="9" max="10" width="4.7109375" customWidth="1"/>
    <col min="11" max="11" width="50.7109375" customWidth="1"/>
    <col min="12" max="22" width="13.5703125" customWidth="1"/>
    <col min="23" max="24" width="6.5703125" customWidth="1"/>
    <col min="25" max="25" width="37.42578125" customWidth="1"/>
    <col min="26" max="26" width="13.42578125" bestFit="1" customWidth="1"/>
    <col min="27" max="31" width="12" bestFit="1" customWidth="1"/>
    <col min="32" max="33" width="5.42578125" customWidth="1"/>
    <col min="34" max="34" width="23.5703125" customWidth="1"/>
    <col min="35" max="37" width="12.42578125" bestFit="1" customWidth="1"/>
    <col min="38" max="40" width="13.42578125" bestFit="1" customWidth="1"/>
    <col min="41" max="41" width="12.42578125" bestFit="1" customWidth="1"/>
    <col min="42" max="42" width="13.5703125" bestFit="1" customWidth="1"/>
    <col min="43" max="43" width="17.42578125" customWidth="1"/>
    <col min="44" max="46" width="0" hidden="1" customWidth="1"/>
    <col min="47" max="16384" width="17.42578125" hidden="1"/>
  </cols>
  <sheetData>
    <row r="1" spans="1:42">
      <c r="A1" s="601"/>
      <c r="B1" s="601"/>
    </row>
    <row r="2" spans="1:42">
      <c r="A2" s="4"/>
      <c r="B2" s="588" t="s">
        <v>643</v>
      </c>
    </row>
    <row r="3" spans="1:42">
      <c r="A3" s="5"/>
      <c r="B3" s="588" t="s">
        <v>644</v>
      </c>
    </row>
    <row r="4" spans="1:42">
      <c r="A4" s="5"/>
    </row>
    <row r="5" spans="1:42">
      <c r="A5" s="5"/>
      <c r="B5" s="324" t="s">
        <v>493</v>
      </c>
      <c r="C5" s="324"/>
      <c r="D5" s="324"/>
      <c r="E5" s="324"/>
      <c r="F5" s="324"/>
      <c r="G5" s="324"/>
      <c r="H5" s="324"/>
      <c r="I5" s="323"/>
      <c r="K5" s="331" t="s">
        <v>494</v>
      </c>
      <c r="O5" s="327"/>
      <c r="P5" s="327"/>
      <c r="Q5" s="327"/>
      <c r="R5" s="327"/>
      <c r="S5" s="327"/>
      <c r="T5" s="327"/>
      <c r="U5" s="327"/>
      <c r="V5" s="327"/>
      <c r="W5" s="323"/>
      <c r="Y5" s="331" t="s">
        <v>501</v>
      </c>
      <c r="AF5" s="323"/>
      <c r="AH5" s="331" t="s">
        <v>502</v>
      </c>
    </row>
    <row r="6" spans="1:42">
      <c r="A6" s="5"/>
      <c r="I6" s="323"/>
      <c r="L6" s="158">
        <v>44562</v>
      </c>
      <c r="W6" s="323"/>
      <c r="Y6" s="1"/>
      <c r="Z6" s="158">
        <v>45839</v>
      </c>
      <c r="AF6" s="323"/>
    </row>
    <row r="7" spans="1:42">
      <c r="B7" s="29" t="s">
        <v>6</v>
      </c>
      <c r="C7" s="221">
        <f>1/C8</f>
        <v>2.2776916051120512E-2</v>
      </c>
      <c r="I7" s="323"/>
      <c r="K7" s="141" t="s">
        <v>496</v>
      </c>
      <c r="L7" s="609" t="s">
        <v>422</v>
      </c>
      <c r="M7" s="609"/>
      <c r="N7" s="609"/>
      <c r="O7" s="609"/>
      <c r="P7" s="609"/>
      <c r="Q7" s="610"/>
      <c r="R7" s="604" t="s">
        <v>421</v>
      </c>
      <c r="S7" s="605"/>
      <c r="T7" s="605"/>
      <c r="U7" s="605"/>
      <c r="V7" s="605"/>
      <c r="W7" s="323"/>
      <c r="Z7" s="29" t="s">
        <v>168</v>
      </c>
      <c r="AA7" s="602" t="s">
        <v>165</v>
      </c>
      <c r="AB7" s="603"/>
      <c r="AC7" s="603"/>
      <c r="AD7" s="603"/>
      <c r="AE7" s="603"/>
      <c r="AF7" s="323"/>
    </row>
    <row r="8" spans="1:42">
      <c r="B8" s="29" t="s">
        <v>7</v>
      </c>
      <c r="C8" s="422">
        <v>43.9041</v>
      </c>
      <c r="I8" s="323"/>
      <c r="K8" s="29" t="s">
        <v>180</v>
      </c>
      <c r="L8" s="29">
        <v>2019</v>
      </c>
      <c r="M8" s="29">
        <v>2020</v>
      </c>
      <c r="N8" s="29">
        <v>2021</v>
      </c>
      <c r="O8" s="29">
        <v>2022</v>
      </c>
      <c r="P8" s="29">
        <v>2023</v>
      </c>
      <c r="Q8" s="29">
        <v>2024</v>
      </c>
      <c r="R8" s="29">
        <v>2025</v>
      </c>
      <c r="S8" s="29">
        <v>2026</v>
      </c>
      <c r="T8" s="29">
        <v>2027</v>
      </c>
      <c r="U8" s="29">
        <v>2028</v>
      </c>
      <c r="V8" s="29">
        <v>2029</v>
      </c>
      <c r="W8" s="323"/>
      <c r="Y8" s="32" t="s">
        <v>8</v>
      </c>
      <c r="Z8" s="122">
        <v>2024</v>
      </c>
      <c r="AA8" s="122">
        <v>2025</v>
      </c>
      <c r="AB8" s="122">
        <v>2026</v>
      </c>
      <c r="AC8" s="122">
        <v>2025</v>
      </c>
      <c r="AD8" s="122">
        <v>2028</v>
      </c>
      <c r="AE8" s="122">
        <v>2029</v>
      </c>
      <c r="AF8" s="323"/>
      <c r="AI8" s="604" t="s">
        <v>355</v>
      </c>
      <c r="AJ8" s="605"/>
      <c r="AK8" s="605"/>
      <c r="AL8" s="605"/>
      <c r="AM8" s="605"/>
      <c r="AN8" s="605"/>
      <c r="AO8" s="605"/>
      <c r="AP8" s="605"/>
    </row>
    <row r="9" spans="1:42" ht="14.45" customHeight="1">
      <c r="B9" s="275"/>
      <c r="I9" s="323"/>
      <c r="K9" s="216" t="s">
        <v>333</v>
      </c>
      <c r="L9" s="131">
        <v>0</v>
      </c>
      <c r="M9" s="131">
        <v>0</v>
      </c>
      <c r="N9" s="131">
        <v>0</v>
      </c>
      <c r="O9" s="131">
        <v>0</v>
      </c>
      <c r="P9" s="131">
        <v>0</v>
      </c>
      <c r="Q9" s="131">
        <v>0</v>
      </c>
      <c r="R9" s="131">
        <v>0</v>
      </c>
      <c r="S9" s="131">
        <v>0</v>
      </c>
      <c r="T9" s="131">
        <v>0</v>
      </c>
      <c r="U9" s="131">
        <v>0</v>
      </c>
      <c r="V9" s="131">
        <v>0</v>
      </c>
      <c r="W9" s="323"/>
      <c r="Y9" s="130" t="s">
        <v>245</v>
      </c>
      <c r="Z9" s="131">
        <f t="shared" ref="Z9:AE9" si="0">Z10-Z12</f>
        <v>66404441.8499</v>
      </c>
      <c r="AA9" s="131">
        <f t="shared" si="0"/>
        <v>64891953.452463314</v>
      </c>
      <c r="AB9" s="131">
        <f t="shared" si="0"/>
        <v>64890072.400063314</v>
      </c>
      <c r="AC9" s="131">
        <f t="shared" si="0"/>
        <v>64879982.52783592</v>
      </c>
      <c r="AD9" s="131">
        <f t="shared" si="0"/>
        <v>64880213.319875844</v>
      </c>
      <c r="AE9" s="131">
        <f t="shared" si="0"/>
        <v>64880213.319875844</v>
      </c>
      <c r="AF9" s="323"/>
      <c r="AH9" s="32" t="s">
        <v>354</v>
      </c>
      <c r="AI9" s="122">
        <v>2019</v>
      </c>
      <c r="AJ9" s="122">
        <v>2020</v>
      </c>
      <c r="AK9" s="122">
        <v>2021</v>
      </c>
      <c r="AL9" s="122">
        <v>2022</v>
      </c>
      <c r="AM9" s="122">
        <v>2023</v>
      </c>
      <c r="AN9" s="122">
        <v>2024</v>
      </c>
      <c r="AO9" s="122">
        <v>2025</v>
      </c>
      <c r="AP9" s="122" t="s">
        <v>4</v>
      </c>
    </row>
    <row r="10" spans="1:42">
      <c r="B10" s="1"/>
      <c r="C10" s="158">
        <v>44562</v>
      </c>
      <c r="D10" s="208"/>
      <c r="I10" s="323"/>
      <c r="K10" s="216" t="s">
        <v>334</v>
      </c>
      <c r="L10" s="131">
        <v>0</v>
      </c>
      <c r="M10" s="131">
        <v>0</v>
      </c>
      <c r="N10" s="131">
        <v>0</v>
      </c>
      <c r="O10" s="131">
        <v>0</v>
      </c>
      <c r="P10" s="131">
        <v>0</v>
      </c>
      <c r="Q10" s="131">
        <v>0</v>
      </c>
      <c r="R10" s="131">
        <v>0</v>
      </c>
      <c r="S10" s="131">
        <v>0</v>
      </c>
      <c r="T10" s="131">
        <v>0</v>
      </c>
      <c r="U10" s="131">
        <v>0</v>
      </c>
      <c r="V10" s="131">
        <v>0</v>
      </c>
      <c r="W10" s="323"/>
      <c r="Y10" s="216" t="s">
        <v>458</v>
      </c>
      <c r="Z10" s="156">
        <v>66404441.8499</v>
      </c>
      <c r="AA10" s="131">
        <f>Z10-AA11</f>
        <v>66404441.8499</v>
      </c>
      <c r="AB10" s="131">
        <f>AA10-AB11</f>
        <v>66402560.797499999</v>
      </c>
      <c r="AC10" s="131">
        <f>AB10-AC11</f>
        <v>66392428.080700003</v>
      </c>
      <c r="AD10" s="131">
        <f>AC10-AD11</f>
        <v>66392428.080700003</v>
      </c>
      <c r="AE10" s="131">
        <f>AD10-AE11</f>
        <v>66392428.080700003</v>
      </c>
      <c r="AF10" s="323"/>
      <c r="AH10" s="217" t="s">
        <v>441</v>
      </c>
      <c r="AI10" s="131">
        <f>INDEX('Informações TAI'!$AW$3:$BC$9,MATCH(AI$9,'Informações TAI'!$AV$3:$AV$9,0),1)</f>
        <v>560754915.92000008</v>
      </c>
      <c r="AJ10" s="131">
        <f>INDEX('Informações TAI'!$AW$3:$BC$9,MATCH(AJ$9,'Informações TAI'!$AV$3:$AV$9,0),1)</f>
        <v>585998695.13</v>
      </c>
      <c r="AK10" s="131">
        <f>INDEX('Informações TAI'!$AW$3:$BC$9,MATCH(AK$9,'Informações TAI'!$AV$3:$AV$9,0),1)</f>
        <v>642496166.01999998</v>
      </c>
      <c r="AL10" s="131">
        <f>INDEX('Informações TAI'!$AW$3:$BC$9,MATCH(AL$9,'Informações TAI'!$AV$3:$AV$9,0),1)</f>
        <v>669251042.13000011</v>
      </c>
      <c r="AM10" s="131">
        <f>INDEX('Informações TAI'!$AW$3:$BC$9,MATCH(AM$9,'Informações TAI'!$AV$3:$AV$9,0),1)</f>
        <v>738895937.33000004</v>
      </c>
      <c r="AN10" s="131">
        <f>INDEX('Informações TAI'!$AW$3:$BC$9,MATCH(AN$9,'Informações TAI'!$AV$3:$AV$9,0),1)</f>
        <v>798007612.31640005</v>
      </c>
      <c r="AO10" s="131">
        <f>INDEX('Informações TAI'!$AW$3:$BC$9,MATCH(AO$9,'Informações TAI'!$AV$3:$AV$9,0),1)</f>
        <v>837907992.9322201</v>
      </c>
      <c r="AP10" s="131">
        <f t="shared" ref="AP10:AP11" si="1">SUM(AI10:AO10)</f>
        <v>4833312361.7786207</v>
      </c>
    </row>
    <row r="11" spans="1:42">
      <c r="B11" s="141" t="s">
        <v>357</v>
      </c>
      <c r="C11" s="29" t="s">
        <v>169</v>
      </c>
      <c r="D11" s="606" t="s">
        <v>165</v>
      </c>
      <c r="E11" s="607"/>
      <c r="F11" s="607"/>
      <c r="G11" s="607"/>
      <c r="H11" s="608"/>
      <c r="I11" s="323"/>
      <c r="K11" s="216" t="s">
        <v>197</v>
      </c>
      <c r="L11" s="131">
        <v>0</v>
      </c>
      <c r="M11" s="131">
        <v>0</v>
      </c>
      <c r="N11" s="131">
        <v>0</v>
      </c>
      <c r="O11" s="131">
        <v>0</v>
      </c>
      <c r="P11" s="131">
        <v>0</v>
      </c>
      <c r="Q11" s="131">
        <v>0</v>
      </c>
      <c r="R11" s="131">
        <v>0</v>
      </c>
      <c r="S11" s="131">
        <v>0</v>
      </c>
      <c r="T11" s="131">
        <v>0</v>
      </c>
      <c r="U11" s="131">
        <v>0</v>
      </c>
      <c r="V11" s="131">
        <v>0</v>
      </c>
      <c r="W11" s="323"/>
      <c r="Y11" s="216" t="s">
        <v>208</v>
      </c>
      <c r="Z11" s="131"/>
      <c r="AA11" s="156">
        <v>0</v>
      </c>
      <c r="AB11" s="156">
        <v>1881.0524</v>
      </c>
      <c r="AC11" s="156">
        <v>10132.7168</v>
      </c>
      <c r="AD11" s="156">
        <v>0</v>
      </c>
      <c r="AE11" s="156">
        <v>0</v>
      </c>
      <c r="AF11" s="323"/>
      <c r="AH11" s="217" t="s">
        <v>442</v>
      </c>
      <c r="AI11" s="131">
        <f>INDEX('Informações TAI'!$AW$3:$BC$9,MATCH(AI$9,'Informações TAI'!$AV$3:$AV$9,0),2)</f>
        <v>100487280.932864</v>
      </c>
      <c r="AJ11" s="131">
        <f>INDEX('Informações TAI'!$AW$3:$BC$9,MATCH(AJ$9,'Informações TAI'!$AV$3:$AV$9,0),2)</f>
        <v>105010966.16729601</v>
      </c>
      <c r="AK11" s="131">
        <f>INDEX('Informações TAI'!$AW$3:$BC$9,MATCH(AK$9,'Informações TAI'!$AV$3:$AV$9,0),2)</f>
        <v>115135312.950784</v>
      </c>
      <c r="AL11" s="131">
        <f>INDEX('Informações TAI'!$AW$3:$BC$9,MATCH(AL$9,'Informações TAI'!$AV$3:$AV$9,0),2)</f>
        <v>119929786.74969605</v>
      </c>
      <c r="AM11" s="131">
        <f>INDEX('Informações TAI'!$AW$3:$BC$9,MATCH(AM$9,'Informações TAI'!$AV$3:$AV$9,0),2)</f>
        <v>132410151.96953602</v>
      </c>
      <c r="AN11" s="131">
        <f>INDEX('Informações TAI'!$AW$3:$BC$9,MATCH(AN$9,'Informações TAI'!$AV$3:$AV$9,0),2)</f>
        <v>143002964.12709889</v>
      </c>
      <c r="AO11" s="131">
        <f>INDEX('Informações TAI'!$AW$3:$BC$9,MATCH(AO$9,'Informações TAI'!$AV$3:$AV$9,0),2)</f>
        <v>150153112.33345383</v>
      </c>
      <c r="AP11" s="131">
        <f t="shared" si="1"/>
        <v>866129575.23072886</v>
      </c>
    </row>
    <row r="12" spans="1:42">
      <c r="B12" s="29" t="s">
        <v>167</v>
      </c>
      <c r="C12" s="29">
        <v>2024</v>
      </c>
      <c r="D12" s="29">
        <v>2025</v>
      </c>
      <c r="E12" s="29">
        <v>2026</v>
      </c>
      <c r="F12" s="29">
        <v>2027</v>
      </c>
      <c r="G12" s="29">
        <v>2028</v>
      </c>
      <c r="H12" s="29">
        <v>2029</v>
      </c>
      <c r="I12" s="323"/>
      <c r="K12" s="325" t="s">
        <v>4</v>
      </c>
      <c r="L12" s="162">
        <f>SUM(L9:L11)</f>
        <v>0</v>
      </c>
      <c r="M12" s="162">
        <f>SUM(M9:M11)</f>
        <v>0</v>
      </c>
      <c r="N12" s="162">
        <f t="shared" ref="N12:Q12" si="2">SUM(N9:N11)</f>
        <v>0</v>
      </c>
      <c r="O12" s="162">
        <f t="shared" si="2"/>
        <v>0</v>
      </c>
      <c r="P12" s="162">
        <f t="shared" si="2"/>
        <v>0</v>
      </c>
      <c r="Q12" s="162">
        <f t="shared" si="2"/>
        <v>0</v>
      </c>
      <c r="R12" s="131">
        <v>0</v>
      </c>
      <c r="S12" s="131">
        <v>0</v>
      </c>
      <c r="T12" s="131">
        <v>0</v>
      </c>
      <c r="U12" s="131">
        <v>0</v>
      </c>
      <c r="V12" s="131">
        <v>0</v>
      </c>
      <c r="W12" s="323"/>
      <c r="Y12" s="216" t="s">
        <v>207</v>
      </c>
      <c r="Z12" s="131"/>
      <c r="AA12" s="131">
        <f>Z10*QRR</f>
        <v>1512488.3974366859</v>
      </c>
      <c r="AB12" s="131">
        <f>AA10*QRR</f>
        <v>1512488.3974366859</v>
      </c>
      <c r="AC12" s="131">
        <f>AB10*QRR</f>
        <v>1512445.5528640833</v>
      </c>
      <c r="AD12" s="131">
        <f>AC10*QRR</f>
        <v>1512214.7608241602</v>
      </c>
      <c r="AE12" s="131">
        <f>AD10*QRR</f>
        <v>1512214.7608241602</v>
      </c>
      <c r="AF12" s="323"/>
      <c r="AH12" s="217" t="s">
        <v>440</v>
      </c>
      <c r="AI12" s="280"/>
      <c r="AJ12" s="131">
        <v>0</v>
      </c>
      <c r="AK12" s="131">
        <v>0</v>
      </c>
      <c r="AL12" s="131">
        <v>0</v>
      </c>
      <c r="AM12" s="131">
        <v>0</v>
      </c>
      <c r="AN12" s="131">
        <v>0</v>
      </c>
      <c r="AO12" s="280"/>
      <c r="AP12" s="131"/>
    </row>
    <row r="13" spans="1:42">
      <c r="B13" s="130" t="s">
        <v>386</v>
      </c>
      <c r="C13" s="156">
        <v>4000000000</v>
      </c>
      <c r="D13" s="131">
        <f>C13+D14-D15-D16</f>
        <v>3265493915.1706848</v>
      </c>
      <c r="E13" s="131">
        <f>D13+E14-E15-E16</f>
        <v>3265493915.1706848</v>
      </c>
      <c r="F13" s="131">
        <f t="shared" ref="F13:H13" si="3">E13+F14-F15-F16</f>
        <v>3265493915.1706848</v>
      </c>
      <c r="G13" s="131">
        <f t="shared" si="3"/>
        <v>3265493915.1706848</v>
      </c>
      <c r="H13" s="131">
        <f t="shared" si="3"/>
        <v>3265493915.1706848</v>
      </c>
      <c r="I13" s="323"/>
      <c r="K13" s="328" t="s">
        <v>489</v>
      </c>
      <c r="L13" s="327"/>
      <c r="M13" s="327"/>
      <c r="N13" s="327"/>
      <c r="O13" s="327"/>
      <c r="P13" s="327"/>
      <c r="Q13" s="327"/>
      <c r="R13" s="327"/>
      <c r="S13" s="327"/>
      <c r="T13" s="327"/>
      <c r="U13" s="327"/>
      <c r="V13" s="327"/>
      <c r="W13" s="323"/>
      <c r="Y13" s="130" t="s">
        <v>47</v>
      </c>
      <c r="Z13" s="131">
        <f t="shared" ref="Z13" si="4">Z14-Z16</f>
        <v>32024056.791099999</v>
      </c>
      <c r="AA13" s="131">
        <f t="shared" ref="AA13" si="5">AA14-AA16</f>
        <v>31128714.541552801</v>
      </c>
      <c r="AB13" s="131">
        <f t="shared" ref="AB13" si="6">AB14-AB16</f>
        <v>30660918.045181915</v>
      </c>
      <c r="AC13" s="131">
        <f t="shared" ref="AC13" si="7">AC14-AC16</f>
        <v>29919265.139940299</v>
      </c>
      <c r="AD13" s="131">
        <f t="shared" ref="AD13" si="8">AD14-AD16</f>
        <v>28742849.625395045</v>
      </c>
      <c r="AE13" s="131">
        <f t="shared" ref="AE13" si="9">AE14-AE16</f>
        <v>27546597.543192398</v>
      </c>
      <c r="AF13" s="323"/>
      <c r="AH13" s="217" t="s">
        <v>344</v>
      </c>
      <c r="AI13" s="131"/>
      <c r="AJ13" s="131">
        <f>AJ11-AJ12</f>
        <v>105010966.16729601</v>
      </c>
      <c r="AK13" s="131">
        <f>AK11-AK12</f>
        <v>115135312.950784</v>
      </c>
      <c r="AL13" s="131">
        <f>AL11-AL12</f>
        <v>119929786.74969605</v>
      </c>
      <c r="AM13" s="131">
        <f>AM11-AM12</f>
        <v>132410151.96953602</v>
      </c>
      <c r="AN13" s="131">
        <f>AN11-AN12</f>
        <v>143002964.12709889</v>
      </c>
      <c r="AO13" s="131"/>
      <c r="AP13" s="131"/>
    </row>
    <row r="14" spans="1:42">
      <c r="B14" s="216" t="s">
        <v>180</v>
      </c>
      <c r="C14" s="31"/>
      <c r="D14" s="131">
        <f>C147/2+R30/2</f>
        <v>0</v>
      </c>
      <c r="E14" s="131">
        <f>R30/2+S30/2</f>
        <v>0</v>
      </c>
      <c r="F14" s="131">
        <f>S30/2+T30/2</f>
        <v>0</v>
      </c>
      <c r="G14" s="131">
        <f>T30/2+U30/2</f>
        <v>0</v>
      </c>
      <c r="H14" s="131">
        <f>U30/2+V30/2</f>
        <v>0</v>
      </c>
      <c r="I14" s="323"/>
      <c r="K14" s="329"/>
      <c r="L14" s="327"/>
      <c r="M14" s="327"/>
      <c r="N14" s="327"/>
      <c r="O14" s="327"/>
      <c r="P14" s="327"/>
      <c r="Q14" s="327"/>
      <c r="R14" s="327"/>
      <c r="S14" s="327"/>
      <c r="T14" s="327"/>
      <c r="U14" s="327"/>
      <c r="V14" s="327"/>
      <c r="W14" s="323"/>
      <c r="Y14" s="216" t="s">
        <v>457</v>
      </c>
      <c r="Z14" s="156">
        <v>32024056.791099999</v>
      </c>
      <c r="AA14" s="131">
        <f>Z14-AA15</f>
        <v>31858123.7947</v>
      </c>
      <c r="AB14" s="131">
        <f>AA14-AB15</f>
        <v>31386547.856400002</v>
      </c>
      <c r="AC14" s="131">
        <f>AB14-AC15</f>
        <v>30634153.9056</v>
      </c>
      <c r="AD14" s="131">
        <f>AC14-AD15</f>
        <v>29440601.177200001</v>
      </c>
      <c r="AE14" s="131">
        <f>AD14-AE15</f>
        <v>28217163.644700002</v>
      </c>
      <c r="AF14" s="323"/>
      <c r="AH14" s="217" t="s">
        <v>411</v>
      </c>
      <c r="AI14" s="131">
        <f>SUM($AI11:AI11)</f>
        <v>100487280.932864</v>
      </c>
      <c r="AJ14" s="131">
        <f>SUM($AI11:AJ11)</f>
        <v>205498247.10016</v>
      </c>
      <c r="AK14" s="131">
        <f>SUM($AI11:AK11)</f>
        <v>320633560.05094397</v>
      </c>
      <c r="AL14" s="131">
        <f>SUM($AI11:AL11)</f>
        <v>440563346.80063999</v>
      </c>
      <c r="AM14" s="131">
        <f>SUM($AI11:AM11)</f>
        <v>572973498.77017605</v>
      </c>
      <c r="AN14" s="131">
        <f>SUM($AI11:AN11)</f>
        <v>715976462.89727497</v>
      </c>
      <c r="AO14" s="131">
        <f>SUM($AI11:AO11)</f>
        <v>866129575.23072886</v>
      </c>
      <c r="AP14" s="162" t="s">
        <v>0</v>
      </c>
    </row>
    <row r="15" spans="1:42">
      <c r="B15" s="216" t="s">
        <v>387</v>
      </c>
      <c r="C15" s="156"/>
      <c r="D15" s="131"/>
      <c r="E15" s="131"/>
      <c r="F15" s="131"/>
      <c r="G15" s="131"/>
      <c r="H15" s="131"/>
      <c r="I15" s="323"/>
      <c r="K15" s="141" t="s">
        <v>495</v>
      </c>
      <c r="L15" s="327"/>
      <c r="M15" s="327"/>
      <c r="N15" s="327"/>
      <c r="O15" s="327"/>
      <c r="P15" s="327"/>
      <c r="Q15" s="327"/>
      <c r="R15" s="327"/>
      <c r="S15" s="327"/>
      <c r="T15" s="327"/>
      <c r="U15" s="327"/>
      <c r="V15" s="327"/>
      <c r="W15" s="323"/>
      <c r="Y15" s="216" t="s">
        <v>208</v>
      </c>
      <c r="Z15" s="131"/>
      <c r="AA15" s="156">
        <v>165932.9964</v>
      </c>
      <c r="AB15" s="156">
        <v>471575.93829999998</v>
      </c>
      <c r="AC15" s="156">
        <v>752393.95079999999</v>
      </c>
      <c r="AD15" s="156">
        <v>1193552.7283999999</v>
      </c>
      <c r="AE15" s="156">
        <v>1223437.5325</v>
      </c>
      <c r="AF15" s="323"/>
      <c r="AH15" s="135"/>
    </row>
    <row r="16" spans="1:42" ht="14.45" customHeight="1">
      <c r="B16" s="216" t="s">
        <v>259</v>
      </c>
      <c r="C16" s="156">
        <f>IF(Resultados!$C$12="Informada SANESUL",AN14,AN19)</f>
        <v>607171355.91695631</v>
      </c>
      <c r="D16" s="131">
        <f>IF(Resultados!$C$12="Informada SANESUL",AO14,AO19)</f>
        <v>734506084.82931542</v>
      </c>
      <c r="E16" s="131"/>
      <c r="F16" s="131"/>
      <c r="G16" s="131"/>
      <c r="H16" s="131"/>
      <c r="I16" s="323"/>
      <c r="K16" s="29" t="s">
        <v>490</v>
      </c>
      <c r="L16" s="29">
        <v>2019</v>
      </c>
      <c r="M16" s="29">
        <v>2020</v>
      </c>
      <c r="N16" s="29">
        <v>2021</v>
      </c>
      <c r="O16" s="29">
        <v>2022</v>
      </c>
      <c r="P16" s="29">
        <v>2023</v>
      </c>
      <c r="Q16" s="29">
        <v>2024</v>
      </c>
      <c r="R16" s="258">
        <v>2025</v>
      </c>
      <c r="S16" s="258">
        <v>2026</v>
      </c>
      <c r="T16" s="258">
        <v>2027</v>
      </c>
      <c r="U16" s="258">
        <v>2028</v>
      </c>
      <c r="V16" s="258">
        <v>2029</v>
      </c>
      <c r="W16" s="323"/>
      <c r="Y16" s="216" t="s">
        <v>207</v>
      </c>
      <c r="Z16" s="131"/>
      <c r="AA16" s="131">
        <f>Z14*QRR</f>
        <v>729409.25314720045</v>
      </c>
      <c r="AB16" s="131">
        <f>AA14*QRR</f>
        <v>725629.81121808675</v>
      </c>
      <c r="AC16" s="131">
        <f>AB14*QRR</f>
        <v>714888.76565969933</v>
      </c>
      <c r="AD16" s="131">
        <f>AC14*QRR</f>
        <v>697751.55180495675</v>
      </c>
      <c r="AE16" s="131">
        <f>AD14*QRR</f>
        <v>670566.10150760412</v>
      </c>
      <c r="AF16" s="323"/>
      <c r="AH16" s="279"/>
      <c r="AI16" s="40"/>
      <c r="AJ16" s="40"/>
      <c r="AK16" s="40"/>
      <c r="AL16" s="40"/>
      <c r="AM16" s="40"/>
      <c r="AN16" s="40"/>
      <c r="AO16" s="40"/>
      <c r="AP16" s="40"/>
    </row>
    <row r="17" spans="2:42">
      <c r="B17" s="130" t="s">
        <v>163</v>
      </c>
      <c r="C17" s="156">
        <v>1265647191.28</v>
      </c>
      <c r="D17" s="131">
        <f>C17+D18</f>
        <v>1356754855.484482</v>
      </c>
      <c r="E17" s="131">
        <f t="shared" ref="E17:H17" si="10">D17+E18</f>
        <v>1431132736.2557695</v>
      </c>
      <c r="F17" s="131">
        <f t="shared" si="10"/>
        <v>1505510617.0270569</v>
      </c>
      <c r="G17" s="131">
        <f t="shared" si="10"/>
        <v>1579888497.7983444</v>
      </c>
      <c r="H17" s="131">
        <f t="shared" si="10"/>
        <v>1654266378.5696318</v>
      </c>
      <c r="I17" s="323"/>
      <c r="K17" s="219" t="s">
        <v>364</v>
      </c>
      <c r="L17" s="35">
        <f>Mercado!D26</f>
        <v>511032</v>
      </c>
      <c r="M17" s="35">
        <f>Mercado!E26</f>
        <v>518149</v>
      </c>
      <c r="N17" s="35">
        <f>Mercado!F26</f>
        <v>525266</v>
      </c>
      <c r="O17" s="35">
        <f>Mercado!G26</f>
        <v>538433</v>
      </c>
      <c r="P17" s="35">
        <f>Mercado!H26</f>
        <v>546485.7142857142</v>
      </c>
      <c r="Q17" s="35">
        <f>Mercado!I26</f>
        <v>558049.04761904769</v>
      </c>
      <c r="R17" s="35">
        <f>IF(Resultados!$C$10="Projeções SANESUL",Mercado!#REF!,Mercado!J26)</f>
        <v>569612.38095238095</v>
      </c>
      <c r="S17" s="35">
        <f>IF(Resultados!$C$10="Projeções SANESUL",Mercado!#REF!,Mercado!K26)</f>
        <v>582542.58199999994</v>
      </c>
      <c r="T17" s="35">
        <f>IF(Resultados!$C$10="Projeções SANESUL",Mercado!#REF!,Mercado!L26)</f>
        <v>595766.29861139983</v>
      </c>
      <c r="U17" s="35">
        <f>IF(Resultados!$C$10="Projeções SANESUL",Mercado!#REF!,Mercado!M26)</f>
        <v>609290.19358987862</v>
      </c>
      <c r="V17" s="35">
        <f>IF(Resultados!$C$10="Projeções SANESUL",Mercado!#REF!,Mercado!N26)</f>
        <v>623121.08098436892</v>
      </c>
      <c r="W17" s="323"/>
      <c r="Y17" s="130" t="s">
        <v>244</v>
      </c>
      <c r="Z17" s="131">
        <f>Z18-Z20</f>
        <v>607171355.91695631</v>
      </c>
      <c r="AA17" s="131">
        <f t="shared" ref="AA17:AE17" si="11">AA18-AA20</f>
        <v>720676593.82694995</v>
      </c>
      <c r="AB17" s="131">
        <f t="shared" si="11"/>
        <v>717776301.39612091</v>
      </c>
      <c r="AC17" s="131">
        <f t="shared" si="11"/>
        <v>717776301.39612091</v>
      </c>
      <c r="AD17" s="131">
        <f t="shared" si="11"/>
        <v>717776301.39612091</v>
      </c>
      <c r="AE17" s="131">
        <f t="shared" si="11"/>
        <v>717776301.39612091</v>
      </c>
      <c r="AF17" s="323"/>
      <c r="AH17" s="132" t="s">
        <v>383</v>
      </c>
      <c r="AI17" s="159">
        <v>0.1792</v>
      </c>
    </row>
    <row r="18" spans="2:42" ht="15" customHeight="1">
      <c r="B18" s="216" t="s">
        <v>207</v>
      </c>
      <c r="C18" s="156"/>
      <c r="D18" s="131">
        <f>C13*$C$7</f>
        <v>91107664.204482049</v>
      </c>
      <c r="E18" s="131">
        <f>D13*$C$7</f>
        <v>74377880.771287531</v>
      </c>
      <c r="F18" s="131">
        <f>E13*$C$7</f>
        <v>74377880.771287531</v>
      </c>
      <c r="G18" s="131">
        <f>F13*$C$7</f>
        <v>74377880.771287531</v>
      </c>
      <c r="H18" s="131">
        <f>G13*$C$7</f>
        <v>74377880.771287531</v>
      </c>
      <c r="I18" s="323"/>
      <c r="K18" s="219" t="s">
        <v>545</v>
      </c>
      <c r="L18" s="35"/>
      <c r="M18" s="35">
        <f>M17-L17</f>
        <v>7117</v>
      </c>
      <c r="N18" s="35">
        <f t="shared" ref="N18:V18" si="12">N17-M17</f>
        <v>7117</v>
      </c>
      <c r="O18" s="35">
        <f t="shared" si="12"/>
        <v>13167</v>
      </c>
      <c r="P18" s="35">
        <f t="shared" si="12"/>
        <v>8052.7142857142026</v>
      </c>
      <c r="Q18" s="35">
        <f t="shared" si="12"/>
        <v>11563.333333333489</v>
      </c>
      <c r="R18" s="35">
        <f t="shared" si="12"/>
        <v>11563.333333333256</v>
      </c>
      <c r="S18" s="35">
        <f t="shared" si="12"/>
        <v>12930.20104761899</v>
      </c>
      <c r="T18" s="35">
        <f t="shared" si="12"/>
        <v>13223.716611399897</v>
      </c>
      <c r="U18" s="35">
        <f t="shared" si="12"/>
        <v>13523.894978478784</v>
      </c>
      <c r="V18" s="35">
        <f t="shared" si="12"/>
        <v>13830.887394490303</v>
      </c>
      <c r="W18" s="323"/>
      <c r="Y18" s="216" t="s">
        <v>411</v>
      </c>
      <c r="Z18" s="131">
        <f>IF(Resultados!$C$12="Informada SANESUL",AN14,AN19)</f>
        <v>607171355.91695631</v>
      </c>
      <c r="AA18" s="131">
        <f>Z18+AA19</f>
        <v>734506084.82931542</v>
      </c>
      <c r="AB18" s="131">
        <f t="shared" ref="AB18:AE18" si="13">AA18+AB19</f>
        <v>734506084.82931542</v>
      </c>
      <c r="AC18" s="131">
        <f t="shared" si="13"/>
        <v>734506084.82931542</v>
      </c>
      <c r="AD18" s="131">
        <f t="shared" si="13"/>
        <v>734506084.82931542</v>
      </c>
      <c r="AE18" s="131">
        <f t="shared" si="13"/>
        <v>734506084.82931542</v>
      </c>
      <c r="AF18" s="323"/>
      <c r="AH18" s="217" t="s">
        <v>375</v>
      </c>
      <c r="AI18" s="131">
        <f>AI10*$AI$17/(AI17+1)</f>
        <v>85216486.544151977</v>
      </c>
      <c r="AJ18" s="131">
        <f t="shared" ref="AJ18:AP18" si="14">AJ10*$AI$17/($AI$17+1)</f>
        <v>89052718.934274077</v>
      </c>
      <c r="AK18" s="131">
        <f t="shared" si="14"/>
        <v>97638494.700461328</v>
      </c>
      <c r="AL18" s="131">
        <f t="shared" si="14"/>
        <v>101704364.61134329</v>
      </c>
      <c r="AM18" s="131">
        <f t="shared" si="14"/>
        <v>112288120.73400271</v>
      </c>
      <c r="AN18" s="131">
        <f t="shared" si="14"/>
        <v>121271170.39272293</v>
      </c>
      <c r="AO18" s="131">
        <f t="shared" si="14"/>
        <v>127334728.91235909</v>
      </c>
      <c r="AP18" s="131">
        <f t="shared" si="14"/>
        <v>734506084.82931554</v>
      </c>
    </row>
    <row r="19" spans="2:42">
      <c r="B19" s="130" t="s">
        <v>388</v>
      </c>
      <c r="C19" s="156">
        <v>62579150.609999999</v>
      </c>
      <c r="D19" s="131">
        <f>C19</f>
        <v>62579150.609999999</v>
      </c>
      <c r="E19" s="131">
        <f t="shared" ref="E19:H19" si="15">D19</f>
        <v>62579150.609999999</v>
      </c>
      <c r="F19" s="131">
        <f t="shared" si="15"/>
        <v>62579150.609999999</v>
      </c>
      <c r="G19" s="131">
        <f t="shared" si="15"/>
        <v>62579150.609999999</v>
      </c>
      <c r="H19" s="131">
        <f t="shared" si="15"/>
        <v>62579150.609999999</v>
      </c>
      <c r="I19" s="323"/>
      <c r="K19" s="219" t="s">
        <v>491</v>
      </c>
      <c r="L19" s="35"/>
      <c r="M19" s="35">
        <f t="shared" ref="M19:Q19" si="16">M9/M18</f>
        <v>0</v>
      </c>
      <c r="N19" s="35">
        <f t="shared" si="16"/>
        <v>0</v>
      </c>
      <c r="O19" s="35">
        <f t="shared" si="16"/>
        <v>0</v>
      </c>
      <c r="P19" s="35">
        <f t="shared" si="16"/>
        <v>0</v>
      </c>
      <c r="Q19" s="35">
        <f t="shared" si="16"/>
        <v>0</v>
      </c>
      <c r="R19" s="393">
        <f>R9/R18</f>
        <v>0</v>
      </c>
      <c r="S19" s="393">
        <f t="shared" ref="S19:V19" si="17">S9/S18</f>
        <v>0</v>
      </c>
      <c r="T19" s="393">
        <f t="shared" si="17"/>
        <v>0</v>
      </c>
      <c r="U19" s="393">
        <f t="shared" si="17"/>
        <v>0</v>
      </c>
      <c r="V19" s="393">
        <f t="shared" si="17"/>
        <v>0</v>
      </c>
      <c r="W19" s="323"/>
      <c r="Y19" s="216" t="s">
        <v>459</v>
      </c>
      <c r="Z19" s="131"/>
      <c r="AA19" s="131">
        <f>IF(Resultados!$C$12="Informada SANESUL",AO11,AO18)</f>
        <v>127334728.91235909</v>
      </c>
      <c r="AB19" s="131"/>
      <c r="AC19" s="131"/>
      <c r="AD19" s="131"/>
      <c r="AE19" s="131"/>
      <c r="AF19" s="323"/>
      <c r="AH19" s="217" t="s">
        <v>414</v>
      </c>
      <c r="AI19" s="131">
        <f>SUM($AI18:AI18)</f>
        <v>85216486.544151977</v>
      </c>
      <c r="AJ19" s="131">
        <f>SUM($AI18:AJ18)</f>
        <v>174269205.47842604</v>
      </c>
      <c r="AK19" s="131">
        <f>SUM($AI18:AK18)</f>
        <v>271907700.17888737</v>
      </c>
      <c r="AL19" s="131">
        <f>SUM($AI18:AL18)</f>
        <v>373612064.79023063</v>
      </c>
      <c r="AM19" s="131">
        <f>SUM($AI18:AM18)</f>
        <v>485900185.52423334</v>
      </c>
      <c r="AN19" s="131">
        <f>SUM($AI18:AN18)</f>
        <v>607171355.91695631</v>
      </c>
      <c r="AO19" s="131">
        <f>SUM($AI18:AO18)</f>
        <v>734506084.82931542</v>
      </c>
      <c r="AP19" s="162" t="s">
        <v>0</v>
      </c>
    </row>
    <row r="20" spans="2:42">
      <c r="B20" s="130" t="s">
        <v>164</v>
      </c>
      <c r="C20" s="156">
        <f>C13-C17+C19-C16</f>
        <v>2189760603.413044</v>
      </c>
      <c r="D20" s="131">
        <f t="shared" ref="D20:H20" si="18">D13-D17+D19</f>
        <v>1971318210.2962027</v>
      </c>
      <c r="E20" s="131">
        <f t="shared" si="18"/>
        <v>1896940329.5249152</v>
      </c>
      <c r="F20" s="131">
        <f t="shared" si="18"/>
        <v>1822562448.7536278</v>
      </c>
      <c r="G20" s="131">
        <f t="shared" si="18"/>
        <v>1748184567.9823403</v>
      </c>
      <c r="H20" s="131">
        <f t="shared" si="18"/>
        <v>1673806687.2110529</v>
      </c>
      <c r="I20" s="323"/>
      <c r="K20" s="219" t="s">
        <v>540</v>
      </c>
      <c r="L20" s="35"/>
      <c r="M20" s="35"/>
      <c r="N20" s="35"/>
      <c r="O20" s="35"/>
      <c r="P20" s="35"/>
      <c r="Q20" s="35"/>
      <c r="R20" s="330">
        <f>AVERAGE($N$19:$Q$19)*R18</f>
        <v>0</v>
      </c>
      <c r="S20" s="330">
        <f t="shared" ref="S20:V20" si="19">AVERAGE($N$19:$Q$19)*S18</f>
        <v>0</v>
      </c>
      <c r="T20" s="330">
        <f t="shared" si="19"/>
        <v>0</v>
      </c>
      <c r="U20" s="330">
        <f t="shared" si="19"/>
        <v>0</v>
      </c>
      <c r="V20" s="330">
        <f t="shared" si="19"/>
        <v>0</v>
      </c>
      <c r="W20" s="323"/>
      <c r="Y20" s="216" t="s">
        <v>207</v>
      </c>
      <c r="Z20" s="131"/>
      <c r="AA20" s="131">
        <f>Z18*QRR</f>
        <v>13829491.002365528</v>
      </c>
      <c r="AB20" s="131">
        <f>AA18*QRR</f>
        <v>16729783.433194518</v>
      </c>
      <c r="AC20" s="131">
        <f>AB18*QRR</f>
        <v>16729783.433194518</v>
      </c>
      <c r="AD20" s="131">
        <f>AC18*QRR</f>
        <v>16729783.433194518</v>
      </c>
      <c r="AE20" s="131">
        <f>AD18*QRR</f>
        <v>16729783.433194518</v>
      </c>
      <c r="AF20" s="323"/>
      <c r="AH20" s="133"/>
      <c r="AI20" s="132"/>
      <c r="AJ20" s="132"/>
      <c r="AK20" s="132"/>
      <c r="AL20" s="132"/>
      <c r="AM20" s="132"/>
      <c r="AN20" s="132"/>
      <c r="AO20" s="132"/>
      <c r="AP20" s="132"/>
    </row>
    <row r="21" spans="2:42">
      <c r="B21" s="130" t="s">
        <v>166</v>
      </c>
      <c r="C21" s="421">
        <v>3.1399999999999997E-2</v>
      </c>
      <c r="D21" s="221">
        <f>$C$21</f>
        <v>3.1399999999999997E-2</v>
      </c>
      <c r="E21" s="221">
        <f>$C$21</f>
        <v>3.1399999999999997E-2</v>
      </c>
      <c r="F21" s="221">
        <f>$C$21</f>
        <v>3.1399999999999997E-2</v>
      </c>
      <c r="G21" s="221">
        <f>$C$21</f>
        <v>3.1399999999999997E-2</v>
      </c>
      <c r="H21" s="221">
        <f>$C$21</f>
        <v>3.1399999999999997E-2</v>
      </c>
      <c r="I21" s="323"/>
      <c r="K21" s="219" t="s">
        <v>541</v>
      </c>
      <c r="L21" s="35"/>
      <c r="M21" s="35"/>
      <c r="N21" s="35"/>
      <c r="O21" s="35"/>
      <c r="P21" s="35"/>
      <c r="Q21" s="35"/>
      <c r="R21" s="330">
        <f>MAX($N$19:$Q$19)*R18</f>
        <v>0</v>
      </c>
      <c r="S21" s="330">
        <f t="shared" ref="S21:V21" si="20">MAX($N$19:$Q$19)*S18</f>
        <v>0</v>
      </c>
      <c r="T21" s="330">
        <f t="shared" si="20"/>
        <v>0</v>
      </c>
      <c r="U21" s="330">
        <f t="shared" si="20"/>
        <v>0</v>
      </c>
      <c r="V21" s="330">
        <f t="shared" si="20"/>
        <v>0</v>
      </c>
      <c r="W21" s="323"/>
      <c r="Y21" s="135" t="s">
        <v>382</v>
      </c>
      <c r="AF21" s="323"/>
      <c r="AH21" s="133"/>
      <c r="AI21" s="132"/>
      <c r="AJ21" s="132"/>
      <c r="AK21" s="132"/>
      <c r="AL21" s="132"/>
      <c r="AM21" s="132"/>
      <c r="AN21" s="132"/>
      <c r="AO21" s="132"/>
      <c r="AP21" s="132"/>
    </row>
    <row r="22" spans="2:42">
      <c r="B22" s="135" t="s">
        <v>435</v>
      </c>
      <c r="C22" s="135"/>
      <c r="D22" s="135"/>
      <c r="E22" s="135"/>
      <c r="F22" s="209"/>
      <c r="G22" s="209"/>
      <c r="H22" s="135"/>
      <c r="I22" s="323"/>
      <c r="K22" s="219" t="s">
        <v>492</v>
      </c>
      <c r="L22" s="35"/>
      <c r="M22" s="35"/>
      <c r="N22" s="35"/>
      <c r="O22" s="35"/>
      <c r="P22" s="35"/>
      <c r="Q22" s="35"/>
      <c r="R22" s="330">
        <f>AVERAGE($N$11:$Q$11)</f>
        <v>0</v>
      </c>
      <c r="S22" s="330">
        <f>R22</f>
        <v>0</v>
      </c>
      <c r="T22" s="330">
        <f t="shared" ref="T22:V22" si="21">S22</f>
        <v>0</v>
      </c>
      <c r="U22" s="330">
        <f t="shared" si="21"/>
        <v>0</v>
      </c>
      <c r="V22" s="330">
        <f t="shared" si="21"/>
        <v>0</v>
      </c>
      <c r="W22" s="323"/>
      <c r="AF22" s="323"/>
      <c r="AH22" s="133"/>
      <c r="AI22" s="132"/>
      <c r="AJ22" s="132"/>
      <c r="AK22" s="132"/>
      <c r="AL22" s="132"/>
      <c r="AM22" s="132"/>
      <c r="AN22" s="132"/>
      <c r="AO22" s="132"/>
      <c r="AP22" s="132"/>
    </row>
    <row r="23" spans="2:42">
      <c r="D23" s="40"/>
      <c r="E23" s="40"/>
      <c r="F23" s="40"/>
      <c r="G23" s="40"/>
      <c r="H23" s="40"/>
      <c r="I23" s="323"/>
      <c r="W23" s="323"/>
      <c r="Z23" s="29" t="s">
        <v>169</v>
      </c>
      <c r="AA23" s="604" t="s">
        <v>165</v>
      </c>
      <c r="AB23" s="605"/>
      <c r="AC23" s="605"/>
      <c r="AD23" s="605"/>
      <c r="AE23" s="605"/>
      <c r="AF23" s="323"/>
      <c r="AH23" s="133"/>
      <c r="AI23" s="132"/>
      <c r="AJ23" s="132"/>
      <c r="AK23" s="132"/>
      <c r="AL23" s="132"/>
      <c r="AM23" s="132"/>
      <c r="AN23" s="132"/>
      <c r="AO23" s="132"/>
      <c r="AP23" s="132"/>
    </row>
    <row r="24" spans="2:42">
      <c r="B24" s="141" t="s">
        <v>357</v>
      </c>
      <c r="C24" s="29" t="s">
        <v>169</v>
      </c>
      <c r="D24" s="606" t="s">
        <v>165</v>
      </c>
      <c r="E24" s="607"/>
      <c r="F24" s="607"/>
      <c r="G24" s="607"/>
      <c r="H24" s="608"/>
      <c r="I24" s="323"/>
      <c r="K24" s="141" t="s">
        <v>497</v>
      </c>
      <c r="L24" s="158"/>
      <c r="W24" s="323"/>
      <c r="Y24" s="32" t="s">
        <v>8</v>
      </c>
      <c r="Z24" s="122">
        <v>2024</v>
      </c>
      <c r="AA24" s="122">
        <v>2025</v>
      </c>
      <c r="AB24" s="122">
        <v>2026</v>
      </c>
      <c r="AC24" s="122">
        <v>2025</v>
      </c>
      <c r="AD24" s="122">
        <v>2028</v>
      </c>
      <c r="AE24" s="122">
        <v>2029</v>
      </c>
      <c r="AF24" s="323"/>
      <c r="AH24" s="32" t="s">
        <v>354</v>
      </c>
      <c r="AI24" s="122">
        <v>2019</v>
      </c>
      <c r="AJ24" s="122">
        <v>2020</v>
      </c>
      <c r="AK24" s="122">
        <v>2021</v>
      </c>
      <c r="AL24" s="122">
        <v>2022</v>
      </c>
      <c r="AM24" s="122">
        <v>2023</v>
      </c>
      <c r="AN24" s="122">
        <v>2024</v>
      </c>
      <c r="AO24" s="122">
        <v>2025</v>
      </c>
      <c r="AP24" s="122" t="s">
        <v>4</v>
      </c>
    </row>
    <row r="25" spans="2:42">
      <c r="B25" s="29" t="s">
        <v>167</v>
      </c>
      <c r="C25" s="29">
        <v>2024</v>
      </c>
      <c r="D25" s="29">
        <v>2025</v>
      </c>
      <c r="E25" s="29">
        <v>2026</v>
      </c>
      <c r="F25" s="29">
        <v>2027</v>
      </c>
      <c r="G25" s="29">
        <v>2028</v>
      </c>
      <c r="H25" s="29">
        <v>2029</v>
      </c>
      <c r="I25" s="323"/>
      <c r="K25" s="611" t="s">
        <v>180</v>
      </c>
      <c r="L25" s="609" t="s">
        <v>168</v>
      </c>
      <c r="M25" s="609"/>
      <c r="N25" s="609"/>
      <c r="O25" s="609"/>
      <c r="P25" s="609"/>
      <c r="Q25" s="610"/>
      <c r="R25" s="604" t="s">
        <v>165</v>
      </c>
      <c r="S25" s="605"/>
      <c r="T25" s="605"/>
      <c r="U25" s="605"/>
      <c r="V25" s="605"/>
      <c r="W25" s="323"/>
      <c r="Y25" s="130" t="s">
        <v>245</v>
      </c>
      <c r="Z25" s="210">
        <f>Z9*VLOOKUP(DATA_BASE,IPCA!$B$5:$C$382,2,FALSE)/VLOOKUP($Z$6,IPCA!$B$5:$C$382,2,FALSE)</f>
        <v>67459059.024113595</v>
      </c>
      <c r="AA25" s="210">
        <f>AA9*VLOOKUP(DATA_BASE,IPCA!$B$5:$C$382,2,FALSE)/VLOOKUP($Z$6,IPCA!$B$5:$C$382,2,FALSE)</f>
        <v>65922549.699833781</v>
      </c>
      <c r="AB25" s="210">
        <f>AB9*VLOOKUP(DATA_BASE,IPCA!$B$5:$C$382,2,FALSE)/VLOOKUP($Z$6,IPCA!$B$5:$C$382,2,FALSE)</f>
        <v>65920638.773074307</v>
      </c>
      <c r="AC25" s="210">
        <f>AC9*VLOOKUP(DATA_BASE,IPCA!$B$5:$C$382,2,FALSE)/VLOOKUP($Z$6,IPCA!$B$5:$C$382,2,FALSE)</f>
        <v>65910388.656257242</v>
      </c>
      <c r="AD25" s="210">
        <f>AD9*VLOOKUP(DATA_BASE,IPCA!$B$5:$C$382,2,FALSE)/VLOOKUP($Z$6,IPCA!$B$5:$C$382,2,FALSE)</f>
        <v>65910623.113673188</v>
      </c>
      <c r="AE25" s="210">
        <f>AE9*VLOOKUP(DATA_BASE,IPCA!$B$5:$C$382,2,FALSE)/VLOOKUP($Z$6,IPCA!$B$5:$C$382,2,FALSE)</f>
        <v>65910623.113673188</v>
      </c>
      <c r="AF25" s="323"/>
      <c r="AH25" s="217" t="s">
        <v>375</v>
      </c>
      <c r="AI25" s="131">
        <v>85216486.544151977</v>
      </c>
      <c r="AJ25" s="131">
        <v>89052718.934274077</v>
      </c>
      <c r="AK25" s="131">
        <v>97638494.700461328</v>
      </c>
      <c r="AL25" s="131">
        <v>101704364.61134329</v>
      </c>
      <c r="AM25" s="131">
        <v>112288120.73400271</v>
      </c>
      <c r="AN25" s="131">
        <v>121271170.39272293</v>
      </c>
      <c r="AO25" s="131">
        <v>127334728.91235909</v>
      </c>
      <c r="AP25" s="131">
        <v>734506084.82931554</v>
      </c>
    </row>
    <row r="26" spans="2:42">
      <c r="B26" s="130" t="s">
        <v>162</v>
      </c>
      <c r="C26" s="210">
        <f>C13*VLOOKUP(DATA_BASE,IPCA!$B$5:$C$382,2,FALSE)/VLOOKUP($C$10,IPCA!$B$5:$C$382,2,FALSE)</f>
        <v>4842070894.4611559</v>
      </c>
      <c r="D26" s="210">
        <f>D13*VLOOKUP(DATA_BASE,IPCA!$B$5:$C$382,2,FALSE)/VLOOKUP($C$10,IPCA!$B$5:$C$382,2,FALSE)</f>
        <v>3952938260.6719952</v>
      </c>
      <c r="E26" s="210">
        <f>E13*VLOOKUP(DATA_BASE,IPCA!$B$5:$C$382,2,FALSE)/VLOOKUP($C$10,IPCA!$B$5:$C$382,2,FALSE)</f>
        <v>3952938260.6719952</v>
      </c>
      <c r="F26" s="210">
        <f>F13*VLOOKUP(DATA_BASE,IPCA!$B$5:$C$382,2,FALSE)/VLOOKUP($C$10,IPCA!$B$5:$C$382,2,FALSE)</f>
        <v>3952938260.6719952</v>
      </c>
      <c r="G26" s="210">
        <f>G13*VLOOKUP(DATA_BASE,IPCA!$B$5:$C$382,2,FALSE)/VLOOKUP($C$10,IPCA!$B$5:$C$382,2,FALSE)</f>
        <v>3952938260.6719952</v>
      </c>
      <c r="H26" s="210">
        <f>H13*VLOOKUP(DATA_BASE,IPCA!$B$5:$C$382,2,FALSE)/VLOOKUP($C$10,IPCA!$B$5:$C$382,2,FALSE)</f>
        <v>3952938260.6719952</v>
      </c>
      <c r="I26" s="323"/>
      <c r="K26" s="612"/>
      <c r="L26" s="29">
        <v>2019</v>
      </c>
      <c r="M26" s="29">
        <v>2020</v>
      </c>
      <c r="N26" s="29">
        <v>2021</v>
      </c>
      <c r="O26" s="29">
        <v>2022</v>
      </c>
      <c r="P26" s="29">
        <v>2023</v>
      </c>
      <c r="Q26" s="29">
        <v>2024</v>
      </c>
      <c r="R26" s="29">
        <v>2025</v>
      </c>
      <c r="S26" s="29">
        <v>2026</v>
      </c>
      <c r="T26" s="29">
        <v>2027</v>
      </c>
      <c r="U26" s="29">
        <v>2028</v>
      </c>
      <c r="V26" s="29">
        <v>2029</v>
      </c>
      <c r="W26" s="323"/>
      <c r="Y26" s="130" t="s">
        <v>47</v>
      </c>
      <c r="Z26" s="210">
        <f>Z13*VLOOKUP(DATA_BASE,IPCA!$B$5:$C$382,2,FALSE)/VLOOKUP($Z$6,IPCA!$B$5:$C$382,2,FALSE)</f>
        <v>32532654.097831771</v>
      </c>
      <c r="AA26" s="210">
        <f>AA13*VLOOKUP(DATA_BASE,IPCA!$B$5:$C$382,2,FALSE)/VLOOKUP($Z$6,IPCA!$B$5:$C$382,2,FALSE)</f>
        <v>31623092.267683238</v>
      </c>
      <c r="AB26" s="210">
        <f>AB13*VLOOKUP(DATA_BASE,IPCA!$B$5:$C$382,2,FALSE)/VLOOKUP($Z$6,IPCA!$B$5:$C$382,2,FALSE)</f>
        <v>31147866.355367184</v>
      </c>
      <c r="AC26" s="210">
        <f>AC13*VLOOKUP(DATA_BASE,IPCA!$B$5:$C$382,2,FALSE)/VLOOKUP($Z$6,IPCA!$B$5:$C$382,2,FALSE)</f>
        <v>30394434.721634164</v>
      </c>
      <c r="AD26" s="210">
        <f>AD13*VLOOKUP(DATA_BASE,IPCA!$B$5:$C$382,2,FALSE)/VLOOKUP($Z$6,IPCA!$B$5:$C$382,2,FALSE)</f>
        <v>29199335.697807178</v>
      </c>
      <c r="AE26" s="210">
        <f>AE13*VLOOKUP(DATA_BASE,IPCA!$B$5:$C$382,2,FALSE)/VLOOKUP($Z$6,IPCA!$B$5:$C$382,2,FALSE)</f>
        <v>27984085.067383442</v>
      </c>
      <c r="AF26" s="323"/>
      <c r="AH26" s="217" t="s">
        <v>414</v>
      </c>
      <c r="AI26" s="131">
        <v>85216486.544151977</v>
      </c>
      <c r="AJ26" s="131">
        <v>174269205.47842604</v>
      </c>
      <c r="AK26" s="131">
        <v>271907700.17888737</v>
      </c>
      <c r="AL26" s="131">
        <v>373612064.79023063</v>
      </c>
      <c r="AM26" s="131">
        <v>485900185.52423334</v>
      </c>
      <c r="AN26" s="131">
        <v>607171355.91695631</v>
      </c>
      <c r="AO26" s="131">
        <v>734506084.82931542</v>
      </c>
      <c r="AP26" s="162" t="s">
        <v>0</v>
      </c>
    </row>
    <row r="27" spans="2:42" ht="15" customHeight="1">
      <c r="B27" s="130" t="s">
        <v>164</v>
      </c>
      <c r="C27" s="131">
        <f>C20*VLOOKUP(DATA_BASE,IPCA!$B$5:$C$382,2,FALSE)/VLOOKUP($C$10,IPCA!$B$5:$C$382,2,FALSE)</f>
        <v>2650744020.9059997</v>
      </c>
      <c r="D27" s="131">
        <f>D20*VLOOKUP(DATA_BASE,IPCA!$B$5:$C$382,2,FALSE)/VLOOKUP($C$10,IPCA!$B$5:$C$382,2,FALSE)</f>
        <v>2386315632.4491248</v>
      </c>
      <c r="E27" s="131">
        <f>E20*VLOOKUP(DATA_BASE,IPCA!$B$5:$C$382,2,FALSE)/VLOOKUP($C$10,IPCA!$B$5:$C$382,2,FALSE)</f>
        <v>2296279889.5305367</v>
      </c>
      <c r="F27" s="131">
        <f>F20*VLOOKUP(DATA_BASE,IPCA!$B$5:$C$382,2,FALSE)/VLOOKUP($C$10,IPCA!$B$5:$C$382,2,FALSE)</f>
        <v>2206244146.6119485</v>
      </c>
      <c r="G27" s="131">
        <f>G20*VLOOKUP(DATA_BASE,IPCA!$B$5:$C$382,2,FALSE)/VLOOKUP($C$10,IPCA!$B$5:$C$382,2,FALSE)</f>
        <v>2116208403.6933603</v>
      </c>
      <c r="H27" s="131">
        <f>H20*VLOOKUP(DATA_BASE,IPCA!$B$5:$C$382,2,FALSE)/VLOOKUP($C$10,IPCA!$B$5:$C$382,2,FALSE)</f>
        <v>2026172660.7747722</v>
      </c>
      <c r="I27" s="323"/>
      <c r="K27" s="216" t="s">
        <v>333</v>
      </c>
      <c r="L27" s="325"/>
      <c r="M27" s="131">
        <v>0</v>
      </c>
      <c r="N27" s="131">
        <v>0</v>
      </c>
      <c r="O27" s="131">
        <v>0</v>
      </c>
      <c r="P27" s="131">
        <v>0</v>
      </c>
      <c r="Q27" s="131">
        <v>0</v>
      </c>
      <c r="R27" s="131">
        <v>0</v>
      </c>
      <c r="S27" s="131">
        <v>0</v>
      </c>
      <c r="T27" s="131">
        <v>0</v>
      </c>
      <c r="U27" s="131">
        <v>0</v>
      </c>
      <c r="V27" s="131">
        <v>0</v>
      </c>
      <c r="W27" s="323"/>
      <c r="Y27" s="130" t="s">
        <v>244</v>
      </c>
      <c r="Z27" s="210">
        <f>Z17*VLOOKUP(DATA_BASE,IPCA!$B$5:$C$382,2,FALSE)/VLOOKUP($Z$6,IPCA!$B$5:$C$382,2,FALSE)</f>
        <v>616814285.2421962</v>
      </c>
      <c r="AA27" s="210">
        <f>AA17*VLOOKUP(DATA_BASE,IPCA!$B$5:$C$382,2,FALSE)/VLOOKUP($Z$6,IPCA!$B$5:$C$382,2,FALSE)</f>
        <v>732122182.28053033</v>
      </c>
      <c r="AB27" s="210">
        <f>AB17*VLOOKUP(DATA_BASE,IPCA!$B$5:$C$382,2,FALSE)/VLOOKUP($Z$6,IPCA!$B$5:$C$382,2,FALSE)</f>
        <v>729175828.19896555</v>
      </c>
      <c r="AC27" s="210">
        <f>AC17*VLOOKUP(DATA_BASE,IPCA!$B$5:$C$382,2,FALSE)/VLOOKUP($Z$6,IPCA!$B$5:$C$382,2,FALSE)</f>
        <v>729175828.19896555</v>
      </c>
      <c r="AD27" s="210">
        <f>AD17*VLOOKUP(DATA_BASE,IPCA!$B$5:$C$382,2,FALSE)/VLOOKUP($Z$6,IPCA!$B$5:$C$382,2,FALSE)</f>
        <v>729175828.19896555</v>
      </c>
      <c r="AE27" s="210">
        <f>AE17*VLOOKUP(DATA_BASE,IPCA!$B$5:$C$382,2,FALSE)/VLOOKUP($Z$6,IPCA!$B$5:$C$382,2,FALSE)</f>
        <v>729175828.19896555</v>
      </c>
      <c r="AF27" s="323"/>
    </row>
    <row r="28" spans="2:42">
      <c r="B28" s="130" t="s">
        <v>166</v>
      </c>
      <c r="C28" s="221">
        <f t="shared" ref="C28:H28" si="22">$C$21</f>
        <v>3.1399999999999997E-2</v>
      </c>
      <c r="D28" s="221">
        <f t="shared" si="22"/>
        <v>3.1399999999999997E-2</v>
      </c>
      <c r="E28" s="221">
        <f t="shared" si="22"/>
        <v>3.1399999999999997E-2</v>
      </c>
      <c r="F28" s="221">
        <f t="shared" si="22"/>
        <v>3.1399999999999997E-2</v>
      </c>
      <c r="G28" s="221">
        <f t="shared" si="22"/>
        <v>3.1399999999999997E-2</v>
      </c>
      <c r="H28" s="221">
        <f t="shared" si="22"/>
        <v>3.1399999999999997E-2</v>
      </c>
      <c r="I28" s="323"/>
      <c r="K28" s="216" t="s">
        <v>334</v>
      </c>
      <c r="L28" s="325"/>
      <c r="M28" s="131">
        <v>0</v>
      </c>
      <c r="N28" s="131">
        <v>0</v>
      </c>
      <c r="O28" s="131">
        <v>0</v>
      </c>
      <c r="P28" s="131">
        <v>0</v>
      </c>
      <c r="Q28" s="131">
        <v>0</v>
      </c>
      <c r="R28" s="131">
        <f t="shared" ref="R28:V28" si="23">R10</f>
        <v>0</v>
      </c>
      <c r="S28" s="131">
        <f t="shared" si="23"/>
        <v>0</v>
      </c>
      <c r="T28" s="131">
        <f t="shared" si="23"/>
        <v>0</v>
      </c>
      <c r="U28" s="131">
        <f t="shared" si="23"/>
        <v>0</v>
      </c>
      <c r="V28" s="131">
        <f t="shared" si="23"/>
        <v>0</v>
      </c>
      <c r="W28" s="323"/>
      <c r="AF28" s="323"/>
    </row>
    <row r="29" spans="2:42">
      <c r="B29" s="135" t="s">
        <v>436</v>
      </c>
      <c r="I29" s="323"/>
      <c r="K29" s="216" t="s">
        <v>197</v>
      </c>
      <c r="L29" s="325"/>
      <c r="M29" s="131">
        <v>0</v>
      </c>
      <c r="N29" s="131">
        <v>0</v>
      </c>
      <c r="O29" s="131">
        <v>0</v>
      </c>
      <c r="P29" s="131">
        <v>0</v>
      </c>
      <c r="Q29" s="131">
        <v>0</v>
      </c>
      <c r="R29" s="131">
        <v>0</v>
      </c>
      <c r="S29" s="131">
        <v>0</v>
      </c>
      <c r="T29" s="131">
        <v>0</v>
      </c>
      <c r="U29" s="131">
        <v>0</v>
      </c>
      <c r="V29" s="131">
        <v>0</v>
      </c>
      <c r="W29" s="323"/>
      <c r="AF29" s="323"/>
    </row>
    <row r="30" spans="2:42">
      <c r="C30" s="26">
        <v>2189760603.413044</v>
      </c>
      <c r="D30" s="26">
        <v>1971318210.2962027</v>
      </c>
      <c r="E30" s="26">
        <v>1896940329.5249152</v>
      </c>
      <c r="F30" s="26">
        <v>1822562448.7536278</v>
      </c>
      <c r="G30" s="26">
        <v>1748184567.9823403</v>
      </c>
      <c r="H30" s="26">
        <v>1673806687.2110529</v>
      </c>
      <c r="I30" s="323"/>
      <c r="K30" s="325" t="s">
        <v>4</v>
      </c>
      <c r="L30" s="325"/>
      <c r="M30" s="162">
        <f>SUM(M27:M29)</f>
        <v>0</v>
      </c>
      <c r="N30" s="162">
        <f t="shared" ref="N30:V30" si="24">SUM(N27:N29)</f>
        <v>0</v>
      </c>
      <c r="O30" s="162">
        <f t="shared" si="24"/>
        <v>0</v>
      </c>
      <c r="P30" s="162">
        <f t="shared" si="24"/>
        <v>0</v>
      </c>
      <c r="Q30" s="162">
        <f t="shared" si="24"/>
        <v>0</v>
      </c>
      <c r="R30" s="162">
        <f t="shared" si="24"/>
        <v>0</v>
      </c>
      <c r="S30" s="162">
        <f t="shared" si="24"/>
        <v>0</v>
      </c>
      <c r="T30" s="162">
        <f t="shared" si="24"/>
        <v>0</v>
      </c>
      <c r="U30" s="162">
        <f t="shared" si="24"/>
        <v>0</v>
      </c>
      <c r="V30" s="162">
        <f t="shared" si="24"/>
        <v>0</v>
      </c>
      <c r="W30" s="323"/>
      <c r="AF30" s="323"/>
    </row>
    <row r="31" spans="2:42">
      <c r="I31" s="323"/>
      <c r="L31" s="327"/>
      <c r="M31" s="327"/>
      <c r="N31" s="327"/>
      <c r="O31" s="327"/>
      <c r="P31" s="327"/>
      <c r="Q31" s="327"/>
      <c r="R31" s="327"/>
      <c r="S31" s="327"/>
      <c r="T31" s="327"/>
      <c r="U31" s="327"/>
      <c r="V31" s="327"/>
      <c r="W31" s="323"/>
      <c r="AF31" s="323"/>
    </row>
  </sheetData>
  <sheetProtection algorithmName="SHA-512" hashValue="sZD3R4XkljcmDuOFKRwTn939xUgwPJ8nJfztZC/ZUvzNBkHk8HNeDBLeBteKIlHtpqR6VG2pIZ5chGPpm8Re1g==" saltValue="aBXg8VokQZZF4ff/e9NQQA==" spinCount="100000" sheet="1" objects="1" scenarios="1" selectLockedCells="1" selectUnlockedCells="1"/>
  <mergeCells count="11">
    <mergeCell ref="D24:H24"/>
    <mergeCell ref="R7:V7"/>
    <mergeCell ref="L7:Q7"/>
    <mergeCell ref="L25:Q25"/>
    <mergeCell ref="R25:V25"/>
    <mergeCell ref="K25:K26"/>
    <mergeCell ref="A1:B1"/>
    <mergeCell ref="AA7:AE7"/>
    <mergeCell ref="AA23:AE23"/>
    <mergeCell ref="AI8:AP8"/>
    <mergeCell ref="D11:H11"/>
  </mergeCells>
  <conditionalFormatting sqref="B9 Y9:AE20 AF11:AF24 D14:I14 AH14:AO14 B14:B15 C15:I15 B16:I21 W20:W23 X20:X28 Z21:AE22 B26:I28 AF27:AF29 C29:I29 J29:J31 W29:W31">
    <cfRule type="expression" dxfId="140" priority="220">
      <formula>B9&lt;0</formula>
    </cfRule>
  </conditionalFormatting>
  <conditionalFormatting sqref="B17:C17">
    <cfRule type="expression" dxfId="139" priority="212">
      <formula>B17&lt;0</formula>
    </cfRule>
  </conditionalFormatting>
  <conditionalFormatting sqref="B13:I13 C15:C17">
    <cfRule type="expression" dxfId="138" priority="205">
      <formula>B13&lt;0</formula>
    </cfRule>
  </conditionalFormatting>
  <conditionalFormatting sqref="C7:C8">
    <cfRule type="expression" dxfId="137" priority="210">
      <formula>C7&lt;0</formula>
    </cfRule>
  </conditionalFormatting>
  <conditionalFormatting sqref="C26">
    <cfRule type="expression" dxfId="136" priority="193">
      <formula>C26&lt;0</formula>
    </cfRule>
  </conditionalFormatting>
  <conditionalFormatting sqref="K8:K11 K12:W15 R16:V16 K16:K17 K17:V18">
    <cfRule type="expression" dxfId="135" priority="21">
      <formula>K8&lt;0</formula>
    </cfRule>
  </conditionalFormatting>
  <conditionalFormatting sqref="K19:K22">
    <cfRule type="expression" dxfId="134" priority="16">
      <formula>K19&lt;0</formula>
    </cfRule>
  </conditionalFormatting>
  <conditionalFormatting sqref="K28:K29">
    <cfRule type="expression" dxfId="133" priority="27">
      <formula>K28&lt;0</formula>
    </cfRule>
  </conditionalFormatting>
  <conditionalFormatting sqref="K27:V31">
    <cfRule type="expression" dxfId="132" priority="25">
      <formula>K27&lt;0</formula>
    </cfRule>
  </conditionalFormatting>
  <conditionalFormatting sqref="L17:L22">
    <cfRule type="expression" dxfId="131" priority="17">
      <formula>L17&lt;0</formula>
    </cfRule>
  </conditionalFormatting>
  <conditionalFormatting sqref="L9:V11">
    <cfRule type="expression" dxfId="130" priority="3">
      <formula>L9&lt;0</formula>
    </cfRule>
  </conditionalFormatting>
  <conditionalFormatting sqref="M19:V22">
    <cfRule type="expression" dxfId="129" priority="14">
      <formula>M19&lt;0</formula>
    </cfRule>
  </conditionalFormatting>
  <conditionalFormatting sqref="Y13">
    <cfRule type="expression" dxfId="128" priority="202">
      <formula>Y13&lt;0</formula>
    </cfRule>
  </conditionalFormatting>
  <conditionalFormatting sqref="Y17">
    <cfRule type="expression" dxfId="127" priority="191">
      <formula>Y17&lt;0</formula>
    </cfRule>
  </conditionalFormatting>
  <conditionalFormatting sqref="Y22">
    <cfRule type="expression" dxfId="126" priority="194">
      <formula>Y22&lt;0</formula>
    </cfRule>
  </conditionalFormatting>
  <conditionalFormatting sqref="Y25:AE27">
    <cfRule type="expression" dxfId="125" priority="183">
      <formula>Y25&lt;0</formula>
    </cfRule>
  </conditionalFormatting>
  <conditionalFormatting sqref="Z11">
    <cfRule type="expression" dxfId="124" priority="86">
      <formula>Z11&lt;0</formula>
    </cfRule>
  </conditionalFormatting>
  <conditionalFormatting sqref="Z14:Z16">
    <cfRule type="expression" dxfId="123" priority="63">
      <formula>Z14&lt;0</formula>
    </cfRule>
  </conditionalFormatting>
  <conditionalFormatting sqref="Z18">
    <cfRule type="expression" dxfId="122" priority="59">
      <formula>Z18&lt;0</formula>
    </cfRule>
  </conditionalFormatting>
  <conditionalFormatting sqref="Z3:AF3">
    <cfRule type="expression" dxfId="121" priority="90">
      <formula>Z3&lt;0</formula>
    </cfRule>
  </conditionalFormatting>
  <conditionalFormatting sqref="Z20:AF20">
    <cfRule type="expression" dxfId="120" priority="61">
      <formula>Z20&lt;0</formula>
    </cfRule>
  </conditionalFormatting>
  <conditionalFormatting sqref="AA17">
    <cfRule type="expression" dxfId="119" priority="113">
      <formula>AA17&lt;0</formula>
    </cfRule>
  </conditionalFormatting>
  <conditionalFormatting sqref="AA19">
    <cfRule type="expression" dxfId="118" priority="55">
      <formula>AA19&lt;0</formula>
    </cfRule>
  </conditionalFormatting>
  <conditionalFormatting sqref="AH2:AH4">
    <cfRule type="expression" dxfId="117" priority="73">
      <formula>AH2&lt;0</formula>
    </cfRule>
  </conditionalFormatting>
  <conditionalFormatting sqref="AH6">
    <cfRule type="expression" dxfId="116" priority="72">
      <formula>AH6&lt;0</formula>
    </cfRule>
  </conditionalFormatting>
  <conditionalFormatting sqref="AH17:AH18">
    <cfRule type="expression" dxfId="115" priority="127">
      <formula>AH17&lt;0</formula>
    </cfRule>
  </conditionalFormatting>
  <conditionalFormatting sqref="AH19:AO23 AH26:AO26">
    <cfRule type="expression" dxfId="114" priority="9">
      <formula>AH19&lt;0</formula>
    </cfRule>
  </conditionalFormatting>
  <conditionalFormatting sqref="AH10:AP13">
    <cfRule type="expression" dxfId="113" priority="77">
      <formula>AH10&lt;0</formula>
    </cfRule>
  </conditionalFormatting>
  <conditionalFormatting sqref="AI17">
    <cfRule type="expression" dxfId="112" priority="131">
      <formula>AI17&lt;0</formula>
    </cfRule>
  </conditionalFormatting>
  <conditionalFormatting sqref="AI11:AO13">
    <cfRule type="expression" dxfId="111" priority="79">
      <formula>AI11&lt;0</formula>
    </cfRule>
  </conditionalFormatting>
  <conditionalFormatting sqref="AI18:AP18">
    <cfRule type="expression" dxfId="110" priority="126">
      <formula>AI18&lt;0</formula>
    </cfRule>
  </conditionalFormatting>
  <conditionalFormatting sqref="AJ11:AO12">
    <cfRule type="expression" dxfId="109" priority="78">
      <formula>AJ11&lt;0</formula>
    </cfRule>
  </conditionalFormatting>
  <conditionalFormatting sqref="AO21:AP22">
    <cfRule type="expression" dxfId="108" priority="119">
      <formula>AO21&lt;0</formula>
    </cfRule>
  </conditionalFormatting>
  <conditionalFormatting sqref="AP10:AP14">
    <cfRule type="expression" dxfId="107" priority="74">
      <formula>AP10&lt;0</formula>
    </cfRule>
  </conditionalFormatting>
  <conditionalFormatting sqref="AP18:AP23 AP25:AP26">
    <cfRule type="expression" dxfId="106" priority="4">
      <formula>AP18&lt;0</formula>
    </cfRule>
  </conditionalFormatting>
  <conditionalFormatting sqref="AH25">
    <cfRule type="expression" dxfId="105" priority="2">
      <formula>AH25&lt;0</formula>
    </cfRule>
  </conditionalFormatting>
  <conditionalFormatting sqref="AI25:AP25">
    <cfRule type="expression" dxfId="104" priority="1">
      <formula>AI25&lt;0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L37"/>
  <sheetViews>
    <sheetView showGridLines="0" topLeftCell="A4" zoomScale="80" zoomScaleNormal="80" workbookViewId="0">
      <selection activeCell="A3" sqref="A1:XFD3"/>
    </sheetView>
  </sheetViews>
  <sheetFormatPr defaultColWidth="0" defaultRowHeight="15" zeroHeight="1"/>
  <cols>
    <col min="1" max="1" width="5.140625" customWidth="1"/>
    <col min="2" max="2" width="41.28515625" customWidth="1"/>
    <col min="3" max="3" width="36.5703125" customWidth="1"/>
    <col min="4" max="9" width="13" customWidth="1"/>
    <col min="10" max="11" width="4.7109375" customWidth="1"/>
    <col min="12" max="12" width="62.140625" customWidth="1"/>
    <col min="13" max="18" width="15" customWidth="1"/>
    <col min="19" max="20" width="4.7109375" customWidth="1"/>
    <col min="21" max="21" width="59.140625" customWidth="1"/>
    <col min="22" max="27" width="17.140625" customWidth="1"/>
    <col min="28" max="29" width="6.85546875" customWidth="1"/>
    <col min="30" max="30" width="41.140625" customWidth="1"/>
    <col min="31" max="31" width="7" bestFit="1" customWidth="1"/>
    <col min="32" max="37" width="12" bestFit="1" customWidth="1"/>
    <col min="38" max="38" width="8.7109375" customWidth="1"/>
    <col min="39" max="16384" width="8.7109375" hidden="1"/>
  </cols>
  <sheetData>
    <row r="1" spans="1:37" hidden="1">
      <c r="A1" s="601"/>
      <c r="B1" s="601"/>
      <c r="C1" s="264"/>
    </row>
    <row r="2" spans="1:37" hidden="1">
      <c r="A2" s="4"/>
      <c r="B2" s="1"/>
      <c r="C2" s="1"/>
    </row>
    <row r="3" spans="1:37" hidden="1">
      <c r="A3" s="5"/>
      <c r="B3" s="1"/>
      <c r="C3" s="1"/>
      <c r="AE3" s="248"/>
      <c r="AF3" s="248"/>
      <c r="AG3" s="248"/>
      <c r="AH3" s="248"/>
      <c r="AI3" s="248"/>
      <c r="AJ3" s="248"/>
      <c r="AK3" s="248"/>
    </row>
    <row r="4" spans="1:37">
      <c r="A4" s="5"/>
      <c r="B4" s="1"/>
      <c r="C4" s="1"/>
      <c r="AE4" s="248"/>
      <c r="AF4" s="248"/>
      <c r="AG4" s="248"/>
      <c r="AH4" s="248"/>
      <c r="AI4" s="248"/>
      <c r="AJ4" s="248"/>
      <c r="AK4" s="248"/>
    </row>
    <row r="5" spans="1:37">
      <c r="A5" s="5"/>
      <c r="B5" s="324" t="s">
        <v>485</v>
      </c>
      <c r="C5" s="1"/>
      <c r="J5" s="323"/>
      <c r="L5" s="324" t="s">
        <v>503</v>
      </c>
      <c r="S5" s="323"/>
      <c r="U5" s="324" t="s">
        <v>486</v>
      </c>
      <c r="AB5" s="323"/>
      <c r="AD5" s="324" t="s">
        <v>52</v>
      </c>
      <c r="AE5" s="248"/>
      <c r="AF5" s="248"/>
      <c r="AG5" s="248"/>
      <c r="AH5" s="248"/>
      <c r="AI5" s="248"/>
      <c r="AJ5" s="248"/>
      <c r="AK5" s="248"/>
    </row>
    <row r="6" spans="1:37">
      <c r="J6" s="323"/>
      <c r="S6" s="323"/>
      <c r="V6" s="213"/>
      <c r="AB6" s="323"/>
      <c r="AE6" s="248"/>
      <c r="AF6" s="248"/>
      <c r="AG6" s="248"/>
      <c r="AH6" s="248"/>
      <c r="AI6" s="248"/>
      <c r="AJ6" s="248"/>
      <c r="AK6" s="248"/>
    </row>
    <row r="7" spans="1:37">
      <c r="B7" s="160" t="s">
        <v>437</v>
      </c>
      <c r="C7" s="134">
        <v>0.11997408217501493</v>
      </c>
      <c r="J7" s="323"/>
      <c r="M7" s="615" t="s">
        <v>420</v>
      </c>
      <c r="N7" s="609"/>
      <c r="O7" s="609"/>
      <c r="P7" s="609"/>
      <c r="Q7" s="609"/>
      <c r="R7" s="609"/>
      <c r="S7" s="323"/>
      <c r="U7" s="141" t="s">
        <v>487</v>
      </c>
      <c r="V7" s="29" t="s">
        <v>429</v>
      </c>
      <c r="W7" s="604" t="s">
        <v>165</v>
      </c>
      <c r="X7" s="605"/>
      <c r="Y7" s="605"/>
      <c r="Z7" s="605"/>
      <c r="AA7" s="605"/>
      <c r="AB7" s="323"/>
      <c r="AD7" s="322" t="s">
        <v>51</v>
      </c>
    </row>
    <row r="8" spans="1:37">
      <c r="B8" s="160" t="s">
        <v>438</v>
      </c>
      <c r="C8" s="134">
        <f>(1+C7)^(1/4)-1</f>
        <v>2.8731393189528109E-2</v>
      </c>
      <c r="J8" s="323"/>
      <c r="L8" s="29" t="s">
        <v>390</v>
      </c>
      <c r="M8" s="29">
        <v>2024</v>
      </c>
      <c r="N8" s="29">
        <v>2025</v>
      </c>
      <c r="O8" s="29">
        <v>2026</v>
      </c>
      <c r="P8" s="29">
        <v>2027</v>
      </c>
      <c r="Q8" s="29">
        <v>2028</v>
      </c>
      <c r="R8" s="29">
        <v>2029</v>
      </c>
      <c r="S8" s="323"/>
      <c r="U8" s="29" t="s">
        <v>50</v>
      </c>
      <c r="V8" s="29">
        <v>2024</v>
      </c>
      <c r="W8" s="29">
        <v>2025</v>
      </c>
      <c r="X8" s="29">
        <v>2026</v>
      </c>
      <c r="Y8" s="29">
        <v>2027</v>
      </c>
      <c r="Z8" s="29">
        <v>2028</v>
      </c>
      <c r="AA8" s="29">
        <v>2029</v>
      </c>
      <c r="AB8" s="323"/>
      <c r="AD8" s="122" t="s">
        <v>139</v>
      </c>
      <c r="AE8" s="122" t="s">
        <v>49</v>
      </c>
      <c r="AF8" s="122">
        <v>2022</v>
      </c>
      <c r="AG8" s="122">
        <v>2023</v>
      </c>
    </row>
    <row r="9" spans="1:37">
      <c r="D9" s="158">
        <v>45444</v>
      </c>
      <c r="J9" s="323"/>
      <c r="L9" s="216" t="s">
        <v>172</v>
      </c>
      <c r="M9" s="276" t="s">
        <v>0</v>
      </c>
      <c r="N9" s="34">
        <f>VLOOKUP($L9,OPEX!$AD$22:$AK$27,MATCH(N$8,OPEX!$AD$21:$AK$21,0),FALSE)/VLOOKUP($L9,OPEX!$AD$22:$AK$27,MATCH(M$8,OPEX!$AD$21:$AK$21,0),FALSE)-1</f>
        <v>0.12878371891100104</v>
      </c>
      <c r="O9" s="34">
        <f>VLOOKUP($L9,OPEX!$AD$22:$AK$27,MATCH(O$8,OPEX!$AD$21:$AK$21,0),FALSE)/VLOOKUP($L9,OPEX!$AD$22:$AK$27,MATCH(N$8,OPEX!$AD$21:$AK$21,0),FALSE)-1</f>
        <v>2.2699999999999942E-2</v>
      </c>
      <c r="P9" s="34">
        <f>VLOOKUP($L9,OPEX!$AD$22:$AK$27,MATCH(P$8,OPEX!$AD$21:$AK$21,0),FALSE)/VLOOKUP($L9,OPEX!$AD$22:$AK$27,MATCH(O$8,OPEX!$AD$21:$AK$21,0),FALSE)-1</f>
        <v>2.269999999999972E-2</v>
      </c>
      <c r="Q9" s="34">
        <f>VLOOKUP($L9,OPEX!$AD$22:$AK$27,MATCH(Q$8,OPEX!$AD$21:$AK$21,0),FALSE)/VLOOKUP($L9,OPEX!$AD$22:$AK$27,MATCH(P$8,OPEX!$AD$21:$AK$21,0),FALSE)-1</f>
        <v>2.2699999999999942E-2</v>
      </c>
      <c r="R9" s="34">
        <f>VLOOKUP($L9,OPEX!$AD$22:$AK$27,MATCH(R$8,OPEX!$AD$21:$AK$21,0),FALSE)/VLOOKUP($L9,OPEX!$AD$22:$AK$27,MATCH(Q$8,OPEX!$AD$21:$AK$21,0),FALSE)-1</f>
        <v>2.2700000000000164E-2</v>
      </c>
      <c r="S9" s="323"/>
      <c r="U9" s="130" t="s">
        <v>215</v>
      </c>
      <c r="V9" s="235">
        <f>OPEX!AG10+OPEX!AG11</f>
        <v>83068000</v>
      </c>
      <c r="W9" s="215"/>
      <c r="X9" s="215"/>
      <c r="Y9" s="215"/>
      <c r="Z9" s="215"/>
      <c r="AA9" s="215"/>
      <c r="AB9" s="323"/>
      <c r="AD9" s="216" t="s">
        <v>175</v>
      </c>
      <c r="AE9" s="34" t="s">
        <v>73</v>
      </c>
      <c r="AF9" s="35" t="s">
        <v>0</v>
      </c>
      <c r="AG9" s="423">
        <v>134674830.00000003</v>
      </c>
    </row>
    <row r="10" spans="1:37">
      <c r="B10" s="133" t="s">
        <v>484</v>
      </c>
      <c r="D10" s="29"/>
      <c r="E10" s="604" t="s">
        <v>165</v>
      </c>
      <c r="F10" s="605"/>
      <c r="G10" s="605"/>
      <c r="H10" s="605"/>
      <c r="I10" s="605"/>
      <c r="J10" s="323"/>
      <c r="L10" s="216" t="s">
        <v>405</v>
      </c>
      <c r="M10" s="276" t="s">
        <v>0</v>
      </c>
      <c r="N10" s="34">
        <f>VLOOKUP($L10,OPEX!$AD$22:$AK$27,MATCH(N$8,OPEX!$AD$21:$AK$21,0),FALSE)/VLOOKUP($L10,OPEX!$AD$22:$AK$27,MATCH(M$8,OPEX!$AD$21:$AK$21,0),FALSE)-1</f>
        <v>0.21387566718685402</v>
      </c>
      <c r="O10" s="34">
        <f>VLOOKUP($L10,OPEX!$AD$22:$AK$27,MATCH(O$8,OPEX!$AD$21:$AK$21,0),FALSE)/VLOOKUP($L10,OPEX!$AD$22:$AK$27,MATCH(N$8,OPEX!$AD$21:$AK$21,0),FALSE)-1</f>
        <v>2.2699999999999942E-2</v>
      </c>
      <c r="P10" s="34">
        <f>VLOOKUP($L10,OPEX!$AD$22:$AK$27,MATCH(P$8,OPEX!$AD$21:$AK$21,0),FALSE)/VLOOKUP($L10,OPEX!$AD$22:$AK$27,MATCH(O$8,OPEX!$AD$21:$AK$21,0),FALSE)-1</f>
        <v>2.2699999999999942E-2</v>
      </c>
      <c r="Q10" s="34">
        <f>VLOOKUP($L10,OPEX!$AD$22:$AK$27,MATCH(Q$8,OPEX!$AD$21:$AK$21,0),FALSE)/VLOOKUP($L10,OPEX!$AD$22:$AK$27,MATCH(P$8,OPEX!$AD$21:$AK$21,0),FALSE)-1</f>
        <v>2.2699999999999942E-2</v>
      </c>
      <c r="R10" s="34">
        <f>VLOOKUP($L10,OPEX!$AD$22:$AK$27,MATCH(R$8,OPEX!$AD$21:$AK$21,0),FALSE)/VLOOKUP($L10,OPEX!$AD$22:$AK$27,MATCH(Q$8,OPEX!$AD$21:$AK$21,0),FALSE)-1</f>
        <v>2.269999999999972E-2</v>
      </c>
      <c r="S10" s="323"/>
      <c r="U10" s="130" t="s">
        <v>122</v>
      </c>
      <c r="V10" s="235">
        <f>'Consumo Energia'!J19*1000</f>
        <v>99243.41</v>
      </c>
      <c r="W10" s="215"/>
      <c r="X10" s="215"/>
      <c r="Y10" s="215"/>
      <c r="Z10" s="215"/>
      <c r="AA10" s="215"/>
      <c r="AB10" s="323"/>
      <c r="AD10" s="216" t="s">
        <v>340</v>
      </c>
      <c r="AE10" s="34" t="s">
        <v>73</v>
      </c>
      <c r="AF10" s="35" t="s">
        <v>0</v>
      </c>
      <c r="AG10" s="423">
        <v>74062000</v>
      </c>
    </row>
    <row r="11" spans="1:37">
      <c r="B11" s="29" t="s">
        <v>50</v>
      </c>
      <c r="C11" s="29" t="s">
        <v>390</v>
      </c>
      <c r="D11" s="29">
        <v>2024</v>
      </c>
      <c r="E11" s="29">
        <v>2025</v>
      </c>
      <c r="F11" s="29">
        <v>2026</v>
      </c>
      <c r="G11" s="29">
        <v>2027</v>
      </c>
      <c r="H11" s="29">
        <v>2028</v>
      </c>
      <c r="I11" s="29">
        <v>2029</v>
      </c>
      <c r="J11" s="323"/>
      <c r="L11" s="216" t="s">
        <v>174</v>
      </c>
      <c r="M11" s="276" t="s">
        <v>0</v>
      </c>
      <c r="N11" s="34">
        <f>VLOOKUP($L11,OPEX!$AD$22:$AK$27,MATCH(N$8,OPEX!$AD$21:$AK$21,0),FALSE)/VLOOKUP($L11,OPEX!$AD$22:$AK$27,MATCH(M$8,OPEX!$AD$21:$AK$21,0),FALSE)-1</f>
        <v>0.1332874548706009</v>
      </c>
      <c r="O11" s="34">
        <f>VLOOKUP($L11,OPEX!$AD$22:$AK$27,MATCH(O$8,OPEX!$AD$21:$AK$21,0),FALSE)/VLOOKUP($L11,OPEX!$AD$22:$AK$27,MATCH(N$8,OPEX!$AD$21:$AK$21,0),FALSE)-1</f>
        <v>3.4766485860720175E-2</v>
      </c>
      <c r="P11" s="34">
        <f>VLOOKUP($L11,OPEX!$AD$22:$AK$27,MATCH(P$8,OPEX!$AD$21:$AK$21,0),FALSE)/VLOOKUP($L11,OPEX!$AD$22:$AK$27,MATCH(O$8,OPEX!$AD$21:$AK$21,0),FALSE)-1</f>
        <v>1.732070521532858E-2</v>
      </c>
      <c r="Q11" s="34">
        <f>VLOOKUP($L11,OPEX!$AD$22:$AK$27,MATCH(Q$8,OPEX!$AD$21:$AK$21,0),FALSE)/VLOOKUP($L11,OPEX!$AD$22:$AK$27,MATCH(P$8,OPEX!$AD$21:$AK$21,0),FALSE)-1</f>
        <v>1.7321145046607977E-2</v>
      </c>
      <c r="R11" s="34">
        <f>VLOOKUP($L11,OPEX!$AD$22:$AK$27,MATCH(R$8,OPEX!$AD$21:$AK$21,0),FALSE)/VLOOKUP($L11,OPEX!$AD$22:$AK$27,MATCH(Q$8,OPEX!$AD$21:$AK$21,0),FALSE)-1</f>
        <v>1.7321097756220816E-2</v>
      </c>
      <c r="S11" s="323"/>
      <c r="U11" s="130" t="s">
        <v>214</v>
      </c>
      <c r="V11" s="235">
        <f>'Material de Tratamento'!J19</f>
        <v>3439.6128400000002</v>
      </c>
      <c r="W11" s="215"/>
      <c r="X11" s="215"/>
      <c r="Y11" s="215"/>
      <c r="Z11" s="215"/>
      <c r="AA11" s="215"/>
      <c r="AB11" s="323"/>
      <c r="AD11" s="216" t="s">
        <v>341</v>
      </c>
      <c r="AE11" s="34"/>
      <c r="AF11" s="35"/>
      <c r="AG11" s="423">
        <v>9006000</v>
      </c>
    </row>
    <row r="12" spans="1:37">
      <c r="B12" s="155" t="s">
        <v>395</v>
      </c>
      <c r="C12" s="155"/>
      <c r="D12" s="271">
        <f t="shared" ref="D12:I13" si="0">V16</f>
        <v>87454144.94250001</v>
      </c>
      <c r="E12" s="271">
        <f t="shared" si="0"/>
        <v>99110685.339770466</v>
      </c>
      <c r="F12" s="271">
        <f t="shared" si="0"/>
        <v>102556415.58028188</v>
      </c>
      <c r="G12" s="271">
        <f t="shared" si="0"/>
        <v>104332765.02248868</v>
      </c>
      <c r="H12" s="271">
        <f t="shared" si="0"/>
        <v>106139927.97855687</v>
      </c>
      <c r="I12" s="271">
        <f t="shared" si="0"/>
        <v>107978388.0469117</v>
      </c>
      <c r="J12" s="323"/>
      <c r="L12" s="216" t="s">
        <v>408</v>
      </c>
      <c r="M12" s="276" t="s">
        <v>0</v>
      </c>
      <c r="N12" s="34">
        <f>AVERAGE(N9,N10)</f>
        <v>0.17132969304892753</v>
      </c>
      <c r="O12" s="34">
        <f>AVERAGE(O9,O10)</f>
        <v>2.2699999999999942E-2</v>
      </c>
      <c r="P12" s="34">
        <f>AVERAGE(P9,P10)</f>
        <v>2.2699999999999831E-2</v>
      </c>
      <c r="Q12" s="34">
        <f>AVERAGE(Q9,Q10)</f>
        <v>2.2699999999999942E-2</v>
      </c>
      <c r="R12" s="34">
        <f>AVERAGE(R9,R10)</f>
        <v>2.2699999999999942E-2</v>
      </c>
      <c r="S12" s="323"/>
      <c r="U12" s="130" t="s">
        <v>236</v>
      </c>
      <c r="V12" s="236">
        <f>$V10/HLOOKUP($V$8,OPEX!$AF$21:$AK$27,7,FALSE)</f>
        <v>7.3691134416134019E-4</v>
      </c>
      <c r="W12" s="157">
        <f t="shared" ref="W12:AA15" si="1">$V12</f>
        <v>7.3691134416134019E-4</v>
      </c>
      <c r="X12" s="157">
        <f t="shared" si="1"/>
        <v>7.3691134416134019E-4</v>
      </c>
      <c r="Y12" s="157">
        <f t="shared" si="1"/>
        <v>7.3691134416134019E-4</v>
      </c>
      <c r="Z12" s="157">
        <f t="shared" si="1"/>
        <v>7.3691134416134019E-4</v>
      </c>
      <c r="AA12" s="157">
        <f t="shared" si="1"/>
        <v>7.3691134416134019E-4</v>
      </c>
      <c r="AB12" s="323"/>
      <c r="AD12" s="216" t="s">
        <v>176</v>
      </c>
      <c r="AE12" s="34" t="s">
        <v>73</v>
      </c>
      <c r="AF12" s="215" t="s">
        <v>0</v>
      </c>
      <c r="AG12" s="215">
        <f>AG9-AG10-AG11</f>
        <v>51606830.00000003</v>
      </c>
    </row>
    <row r="13" spans="1:37">
      <c r="B13" s="155" t="s">
        <v>394</v>
      </c>
      <c r="C13" s="155"/>
      <c r="D13" s="271">
        <f t="shared" si="0"/>
        <v>16321941.079500005</v>
      </c>
      <c r="E13" s="271">
        <f t="shared" si="0"/>
        <v>18497451.06453447</v>
      </c>
      <c r="F13" s="271">
        <f t="shared" si="0"/>
        <v>19140542.43542897</v>
      </c>
      <c r="G13" s="271">
        <f t="shared" si="0"/>
        <v>19472070.128614523</v>
      </c>
      <c r="H13" s="271">
        <f t="shared" si="0"/>
        <v>19809348.679669976</v>
      </c>
      <c r="I13" s="271">
        <f t="shared" si="0"/>
        <v>20152468.344637606</v>
      </c>
      <c r="J13" s="323"/>
      <c r="L13" s="216" t="s">
        <v>409</v>
      </c>
      <c r="M13" s="276" t="s">
        <v>0</v>
      </c>
      <c r="N13" s="34">
        <f>AVERAGE(N9,N11)</f>
        <v>0.13103558689080097</v>
      </c>
      <c r="O13" s="34">
        <f>AVERAGE(O9,O11)</f>
        <v>2.8733242930360059E-2</v>
      </c>
      <c r="P13" s="34">
        <f>AVERAGE(P9,P11)</f>
        <v>2.001035260766415E-2</v>
      </c>
      <c r="Q13" s="34">
        <f>AVERAGE(Q9,Q11)</f>
        <v>2.001057252330396E-2</v>
      </c>
      <c r="R13" s="34">
        <f>AVERAGE(R9,R11)</f>
        <v>2.001054887811049E-2</v>
      </c>
      <c r="S13" s="323"/>
      <c r="U13" s="130" t="s">
        <v>238</v>
      </c>
      <c r="V13" s="236">
        <f>$V11/HLOOKUP($V$8,OPEX!$AF$21:$AK$27,7,FALSE)</f>
        <v>2.5540131292536246E-5</v>
      </c>
      <c r="W13" s="157">
        <f t="shared" si="1"/>
        <v>2.5540131292536246E-5</v>
      </c>
      <c r="X13" s="157">
        <f t="shared" si="1"/>
        <v>2.5540131292536246E-5</v>
      </c>
      <c r="Y13" s="157">
        <f t="shared" si="1"/>
        <v>2.5540131292536246E-5</v>
      </c>
      <c r="Z13" s="157">
        <f t="shared" si="1"/>
        <v>2.5540131292536246E-5</v>
      </c>
      <c r="AA13" s="157">
        <f t="shared" si="1"/>
        <v>2.5540131292536246E-5</v>
      </c>
      <c r="AB13" s="323"/>
      <c r="AD13" s="216" t="s">
        <v>177</v>
      </c>
      <c r="AE13" s="34" t="s">
        <v>59</v>
      </c>
      <c r="AF13" s="215">
        <v>513762</v>
      </c>
      <c r="AG13" s="215">
        <f>Mercado!H11</f>
        <v>504624.9085714285</v>
      </c>
    </row>
    <row r="14" spans="1:37">
      <c r="B14" s="130" t="s">
        <v>392</v>
      </c>
      <c r="C14" s="39" t="s">
        <v>471</v>
      </c>
      <c r="D14" s="270">
        <f>'BD Custos Operacionais'!J11</f>
        <v>108964670.48249999</v>
      </c>
      <c r="E14" s="270">
        <f t="shared" ref="E14:I17" si="2">IF($C14="Empregados",VLOOKUP($B14,$L$29:$Q$34,6,FALSE),D14*(1+INDEX(N$9:N$16,MATCH($C14,$L$9:$L$16,0))))</f>
        <v>108964670.48249999</v>
      </c>
      <c r="F14" s="270">
        <f t="shared" si="2"/>
        <v>108964670.48249999</v>
      </c>
      <c r="G14" s="270">
        <f t="shared" si="2"/>
        <v>108964670.48249999</v>
      </c>
      <c r="H14" s="270">
        <f t="shared" si="2"/>
        <v>108964670.48249999</v>
      </c>
      <c r="I14" s="270">
        <f t="shared" si="2"/>
        <v>108964670.48249999</v>
      </c>
      <c r="J14" s="323"/>
      <c r="L14" s="216" t="s">
        <v>410</v>
      </c>
      <c r="M14" s="276" t="s">
        <v>0</v>
      </c>
      <c r="N14" s="34">
        <f>AVERAGE(N10,N11)</f>
        <v>0.17358156102872746</v>
      </c>
      <c r="O14" s="34">
        <f>AVERAGE(O10,O11)</f>
        <v>2.8733242930360059E-2</v>
      </c>
      <c r="P14" s="34">
        <f>AVERAGE(P10,P11)</f>
        <v>2.0010352607664261E-2</v>
      </c>
      <c r="Q14" s="34">
        <f>AVERAGE(Q10,Q11)</f>
        <v>2.001057252330396E-2</v>
      </c>
      <c r="R14" s="34">
        <f>AVERAGE(R10,R11)</f>
        <v>2.0010548878110268E-2</v>
      </c>
      <c r="S14" s="323"/>
      <c r="U14" s="130" t="s">
        <v>239</v>
      </c>
      <c r="V14" s="237">
        <f>V20/V10</f>
        <v>881.20858546174509</v>
      </c>
      <c r="W14" s="214">
        <f t="shared" si="1"/>
        <v>881.20858546174509</v>
      </c>
      <c r="X14" s="214">
        <f t="shared" si="1"/>
        <v>881.20858546174509</v>
      </c>
      <c r="Y14" s="214">
        <f t="shared" si="1"/>
        <v>881.20858546174509</v>
      </c>
      <c r="Z14" s="214">
        <f t="shared" si="1"/>
        <v>881.20858546174509</v>
      </c>
      <c r="AA14" s="214">
        <f t="shared" si="1"/>
        <v>881.20858546174509</v>
      </c>
      <c r="AB14" s="323"/>
      <c r="AD14" s="216" t="s">
        <v>51</v>
      </c>
      <c r="AE14" s="34" t="s">
        <v>53</v>
      </c>
      <c r="AF14" s="215" t="s">
        <v>0</v>
      </c>
      <c r="AG14" s="215">
        <f>ROUNDDOWN((AG12/AVERAGE(AF13:AG13)*1000/365),0)</f>
        <v>277</v>
      </c>
    </row>
    <row r="15" spans="1:37">
      <c r="B15" s="130" t="s">
        <v>396</v>
      </c>
      <c r="C15" s="39" t="s">
        <v>409</v>
      </c>
      <c r="D15" s="270">
        <f>'BD Custos Operacionais'!J35</f>
        <v>20884197.326999992</v>
      </c>
      <c r="E15" s="270">
        <f t="shared" si="2"/>
        <v>23620770.380486734</v>
      </c>
      <c r="F15" s="270">
        <f t="shared" si="2"/>
        <v>24299471.714031514</v>
      </c>
      <c r="G15" s="270">
        <f t="shared" si="2"/>
        <v>24785712.711209241</v>
      </c>
      <c r="H15" s="270">
        <f t="shared" si="2"/>
        <v>25281689.012958672</v>
      </c>
      <c r="I15" s="270">
        <f t="shared" si="2"/>
        <v>25787589.486673672</v>
      </c>
      <c r="J15" s="323"/>
      <c r="L15" s="216" t="s">
        <v>412</v>
      </c>
      <c r="M15" s="276" t="s">
        <v>0</v>
      </c>
      <c r="N15" s="34">
        <f>0.5%</f>
        <v>5.0000000000000001E-3</v>
      </c>
      <c r="O15" s="34">
        <f>0.5%</f>
        <v>5.0000000000000001E-3</v>
      </c>
      <c r="P15" s="34">
        <f>0.5%</f>
        <v>5.0000000000000001E-3</v>
      </c>
      <c r="Q15" s="34">
        <f>0.5%</f>
        <v>5.0000000000000001E-3</v>
      </c>
      <c r="R15" s="34">
        <f>0.5%</f>
        <v>5.0000000000000001E-3</v>
      </c>
      <c r="S15" s="323"/>
      <c r="U15" s="130" t="s">
        <v>240</v>
      </c>
      <c r="V15" s="237">
        <f>V21/V11</f>
        <v>4745.2843790116813</v>
      </c>
      <c r="W15" s="214">
        <f t="shared" si="1"/>
        <v>4745.2843790116813</v>
      </c>
      <c r="X15" s="214">
        <f t="shared" si="1"/>
        <v>4745.2843790116813</v>
      </c>
      <c r="Y15" s="214">
        <f t="shared" si="1"/>
        <v>4745.2843790116813</v>
      </c>
      <c r="Z15" s="214">
        <f t="shared" si="1"/>
        <v>4745.2843790116813</v>
      </c>
      <c r="AA15" s="214">
        <f t="shared" si="1"/>
        <v>4745.2843790116813</v>
      </c>
      <c r="AB15" s="323"/>
      <c r="AD15" s="2" t="s">
        <v>547</v>
      </c>
      <c r="AG15" s="28"/>
    </row>
    <row r="16" spans="1:37">
      <c r="B16" s="130" t="s">
        <v>397</v>
      </c>
      <c r="C16" s="39" t="s">
        <v>409</v>
      </c>
      <c r="D16" s="270">
        <f>'BD Custos Operacionais'!J52</f>
        <v>178108158.63750002</v>
      </c>
      <c r="E16" s="270">
        <f t="shared" si="2"/>
        <v>201446665.73460475</v>
      </c>
      <c r="F16" s="270">
        <f t="shared" si="2"/>
        <v>207234881.71866819</v>
      </c>
      <c r="G16" s="270">
        <f t="shared" si="2"/>
        <v>211381724.77446631</v>
      </c>
      <c r="H16" s="270">
        <f t="shared" si="2"/>
        <v>215611594.10816684</v>
      </c>
      <c r="I16" s="270">
        <f t="shared" si="2"/>
        <v>219926100.45075566</v>
      </c>
      <c r="J16" s="323"/>
      <c r="L16" s="216" t="s">
        <v>391</v>
      </c>
      <c r="M16" s="276" t="s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23"/>
      <c r="U16" s="155" t="s">
        <v>403</v>
      </c>
      <c r="V16" s="222">
        <f>V14*V12*HLOOKUP(V$8,OPEX!$AF$21:$AK$27,7,FALSE)</f>
        <v>87454144.94250001</v>
      </c>
      <c r="W16" s="222">
        <f>W14*W12*HLOOKUP(W$8,OPEX!$AF$21:$AK$27,7,FALSE)</f>
        <v>99110685.339770466</v>
      </c>
      <c r="X16" s="222">
        <f>X14*X12*HLOOKUP(X$8,OPEX!$AF$21:$AK$27,7,FALSE)</f>
        <v>102556415.58028188</v>
      </c>
      <c r="Y16" s="222">
        <f>Y14*Y12*HLOOKUP(Y$8,OPEX!$AF$21:$AK$27,7,FALSE)</f>
        <v>104332765.02248868</v>
      </c>
      <c r="Z16" s="222">
        <f>Z14*Z12*HLOOKUP(Z$8,OPEX!$AF$21:$AK$27,7,FALSE)</f>
        <v>106139927.97855687</v>
      </c>
      <c r="AA16" s="222">
        <f>AA14*AA12*HLOOKUP(AA$8,OPEX!$AF$21:$AK$27,7,FALSE)</f>
        <v>107978388.0469117</v>
      </c>
      <c r="AB16" s="323"/>
    </row>
    <row r="17" spans="2:37">
      <c r="B17" s="130" t="s">
        <v>393</v>
      </c>
      <c r="C17" s="39" t="s">
        <v>409</v>
      </c>
      <c r="D17" s="270">
        <f>'BD Custos Operacionais'!J73</f>
        <v>34544935.330500007</v>
      </c>
      <c r="E17" s="270">
        <f t="shared" si="2"/>
        <v>39071551.205636844</v>
      </c>
      <c r="F17" s="270">
        <f t="shared" si="2"/>
        <v>40194203.578094415</v>
      </c>
      <c r="G17" s="270">
        <f t="shared" si="2"/>
        <v>40998503.764476314</v>
      </c>
      <c r="H17" s="270">
        <f t="shared" si="2"/>
        <v>41818907.297402315</v>
      </c>
      <c r="I17" s="270">
        <f t="shared" si="2"/>
        <v>42655726.585906163</v>
      </c>
      <c r="J17" s="323"/>
      <c r="L17" s="321" t="s">
        <v>471</v>
      </c>
      <c r="S17" s="323"/>
      <c r="U17" s="155" t="s">
        <v>404</v>
      </c>
      <c r="V17" s="222">
        <f>V15*V13*HLOOKUP(V$8,OPEX!$AF$21:$AK$27,7,FALSE)</f>
        <v>16321941.079500005</v>
      </c>
      <c r="W17" s="222">
        <f>W15*W13*HLOOKUP(W$8,OPEX!$AF$21:$AK$27,7,FALSE)</f>
        <v>18497451.06453447</v>
      </c>
      <c r="X17" s="222">
        <f>X15*X13*HLOOKUP(X$8,OPEX!$AF$21:$AK$27,7,FALSE)</f>
        <v>19140542.43542897</v>
      </c>
      <c r="Y17" s="222">
        <f>Y15*Y13*HLOOKUP(Y$8,OPEX!$AF$21:$AK$27,7,FALSE)</f>
        <v>19472070.128614523</v>
      </c>
      <c r="Z17" s="222">
        <f>Z15*Z13*HLOOKUP(Z$8,OPEX!$AF$21:$AK$27,7,FALSE)</f>
        <v>19809348.679669976</v>
      </c>
      <c r="AA17" s="222">
        <f>AA15*AA13*HLOOKUP(AA$8,OPEX!$AF$21:$AK$27,7,FALSE)</f>
        <v>20152468.344637606</v>
      </c>
      <c r="AB17" s="323"/>
      <c r="AD17" s="122" t="s">
        <v>139</v>
      </c>
      <c r="AE17" s="122" t="s">
        <v>49</v>
      </c>
      <c r="AF17" s="122">
        <v>2020</v>
      </c>
      <c r="AG17" s="122">
        <v>2021</v>
      </c>
      <c r="AH17" s="122">
        <v>2022</v>
      </c>
      <c r="AI17" s="122">
        <v>2023</v>
      </c>
      <c r="AJ17" s="122" t="s">
        <v>178</v>
      </c>
    </row>
    <row r="18" spans="2:37">
      <c r="B18" s="130"/>
      <c r="C18" s="39"/>
      <c r="D18" s="270"/>
      <c r="E18" s="270"/>
      <c r="F18" s="270"/>
      <c r="G18" s="270"/>
      <c r="H18" s="270"/>
      <c r="I18" s="270"/>
      <c r="J18" s="323"/>
      <c r="L18" s="141" t="s">
        <v>482</v>
      </c>
      <c r="S18" s="323"/>
      <c r="U18" s="135" t="s">
        <v>430</v>
      </c>
      <c r="W18" s="282"/>
      <c r="AB18" s="323"/>
      <c r="AD18" s="35" t="s">
        <v>237</v>
      </c>
      <c r="AE18" s="35" t="s">
        <v>53</v>
      </c>
      <c r="AF18" s="424">
        <v>303.87079488873331</v>
      </c>
      <c r="AG18" s="424">
        <v>296.16336855080175</v>
      </c>
      <c r="AH18" s="424">
        <v>279.72078997681967</v>
      </c>
      <c r="AI18" s="424">
        <v>277</v>
      </c>
      <c r="AJ18" s="215">
        <f>ROUNDDOWN(SMALL(AF18:AI18,1),0)</f>
        <v>277</v>
      </c>
    </row>
    <row r="19" spans="2:37">
      <c r="B19" s="130"/>
      <c r="C19" s="39"/>
      <c r="D19" s="270"/>
      <c r="E19" s="270"/>
      <c r="F19" s="270"/>
      <c r="G19" s="270"/>
      <c r="H19" s="270"/>
      <c r="I19" s="270"/>
      <c r="J19" s="323"/>
      <c r="L19" s="29" t="s">
        <v>483</v>
      </c>
      <c r="M19" s="29" t="s">
        <v>629</v>
      </c>
      <c r="N19" s="29" t="s">
        <v>123</v>
      </c>
      <c r="O19" s="25"/>
      <c r="P19" s="25"/>
      <c r="Q19" s="25"/>
      <c r="S19" s="323"/>
      <c r="AB19" s="323"/>
      <c r="AD19" s="220" t="s">
        <v>179</v>
      </c>
    </row>
    <row r="20" spans="2:37">
      <c r="B20" s="130"/>
      <c r="C20" s="39"/>
      <c r="D20" s="270"/>
      <c r="E20" s="270"/>
      <c r="F20" s="270"/>
      <c r="G20" s="270"/>
      <c r="H20" s="270"/>
      <c r="I20" s="270"/>
      <c r="J20" s="323"/>
      <c r="L20" s="217" t="s">
        <v>398</v>
      </c>
      <c r="M20" s="270">
        <f>'BD Custos Operacionais'!J11</f>
        <v>108964670.48249999</v>
      </c>
      <c r="N20" s="319">
        <f>M20/SUM($M$20:$M$24)</f>
        <v>0.24416318709777701</v>
      </c>
      <c r="O20" s="25"/>
      <c r="P20" s="25"/>
      <c r="Q20" s="25"/>
      <c r="S20" s="323"/>
      <c r="U20" s="29" t="s">
        <v>395</v>
      </c>
      <c r="V20" s="156">
        <f>'BD Custos Operacionais'!J71</f>
        <v>87454144.94250001</v>
      </c>
      <c r="AB20" s="323"/>
    </row>
    <row r="21" spans="2:37">
      <c r="B21" s="130"/>
      <c r="C21" s="39"/>
      <c r="D21" s="270"/>
      <c r="E21" s="270"/>
      <c r="F21" s="270"/>
      <c r="G21" s="270"/>
      <c r="H21" s="270"/>
      <c r="I21" s="270"/>
      <c r="J21" s="323"/>
      <c r="L21" s="217" t="s">
        <v>399</v>
      </c>
      <c r="M21" s="270">
        <f>'BD Custos Operacionais'!J35+'BD Custos Operacionais'!J50</f>
        <v>37206138.406499997</v>
      </c>
      <c r="N21" s="319">
        <f>M21/SUM($M$20:$M$24)</f>
        <v>8.3369860090487025E-2</v>
      </c>
      <c r="O21" s="25"/>
      <c r="P21" s="25"/>
      <c r="Q21" s="25"/>
      <c r="S21" s="323"/>
      <c r="U21" s="29" t="s">
        <v>394</v>
      </c>
      <c r="V21" s="156">
        <f>'BD Custos Operacionais'!J50</f>
        <v>16321941.079500007</v>
      </c>
      <c r="AB21" s="323"/>
      <c r="AD21" s="32" t="s">
        <v>139</v>
      </c>
      <c r="AE21" s="32" t="s">
        <v>49</v>
      </c>
      <c r="AF21" s="122">
        <v>2024</v>
      </c>
      <c r="AG21" s="122">
        <v>2025</v>
      </c>
      <c r="AH21" s="122">
        <v>2026</v>
      </c>
      <c r="AI21" s="122">
        <v>2027</v>
      </c>
      <c r="AJ21" s="122">
        <v>2028</v>
      </c>
      <c r="AK21" s="122">
        <v>2029</v>
      </c>
    </row>
    <row r="22" spans="2:37">
      <c r="B22" s="130"/>
      <c r="C22" s="39"/>
      <c r="D22" s="270"/>
      <c r="E22" s="270"/>
      <c r="F22" s="270"/>
      <c r="G22" s="270"/>
      <c r="H22" s="270"/>
      <c r="I22" s="270"/>
      <c r="J22" s="323"/>
      <c r="L22" s="217" t="s">
        <v>400</v>
      </c>
      <c r="M22" s="270">
        <f>'BD Custos Operacionais'!J52</f>
        <v>178108158.63750002</v>
      </c>
      <c r="N22" s="319">
        <f>M22/SUM($M$20:$M$24)</f>
        <v>0.39909683999854489</v>
      </c>
      <c r="O22" s="25"/>
      <c r="P22" s="25"/>
      <c r="Q22" s="25"/>
      <c r="S22" s="323"/>
      <c r="U22" s="135" t="s">
        <v>389</v>
      </c>
      <c r="AB22" s="323"/>
      <c r="AD22" s="216" t="s">
        <v>407</v>
      </c>
      <c r="AE22" s="34" t="s">
        <v>53</v>
      </c>
      <c r="AF22" s="265">
        <f>$AG$14</f>
        <v>277</v>
      </c>
      <c r="AG22" s="215">
        <v>274</v>
      </c>
      <c r="AH22" s="215">
        <v>271</v>
      </c>
      <c r="AI22" s="215">
        <v>268</v>
      </c>
      <c r="AJ22" s="215">
        <v>265</v>
      </c>
      <c r="AK22" s="215">
        <v>262</v>
      </c>
    </row>
    <row r="23" spans="2:37">
      <c r="B23" s="130"/>
      <c r="C23" s="39"/>
      <c r="D23" s="270"/>
      <c r="E23" s="270"/>
      <c r="F23" s="270"/>
      <c r="G23" s="270"/>
      <c r="H23" s="270"/>
      <c r="I23" s="270"/>
      <c r="J23" s="323"/>
      <c r="L23" s="217" t="s">
        <v>401</v>
      </c>
      <c r="M23" s="270">
        <f>'BD Custos Operacionais'!J71</f>
        <v>87454144.94250001</v>
      </c>
      <c r="N23" s="319">
        <f>M23/SUM($M$20:$M$24)</f>
        <v>0.19596335821068811</v>
      </c>
      <c r="O23" s="25"/>
      <c r="P23" s="25"/>
      <c r="Q23" s="25"/>
      <c r="S23" s="323"/>
      <c r="AB23" s="323"/>
      <c r="AD23" s="216" t="s">
        <v>172</v>
      </c>
      <c r="AE23" s="34" t="s">
        <v>59</v>
      </c>
      <c r="AF23" s="265">
        <f>$AG$13</f>
        <v>504624.9085714285</v>
      </c>
      <c r="AG23" s="215">
        <f>IF(Resultados!$C$10="Projeções SIGLASUL",HLOOKUP(AG$21,Mercado!$J$23:$N$26,4,FALSE),HLOOKUP(AG$21,Mercado!#REF!,4,FALSE))</f>
        <v>569612.38095238095</v>
      </c>
      <c r="AH23" s="215">
        <f>IF(Resultados!$C$10="Projeções SIGLASUL",HLOOKUP(AH$21,Mercado!$J$23:$N$26,4,FALSE),HLOOKUP(AH$21,Mercado!#REF!,4,FALSE))</f>
        <v>582542.58199999994</v>
      </c>
      <c r="AI23" s="215">
        <f>IF(Resultados!$C$10="Projeções SIGLASUL",HLOOKUP(AI$21,Mercado!$J$23:$N$26,4,FALSE),HLOOKUP(AI$21,Mercado!#REF!,4,FALSE))</f>
        <v>595766.29861139983</v>
      </c>
      <c r="AJ23" s="215">
        <f>IF(Resultados!$C$10="Projeções SIGLASUL",HLOOKUP(AJ$21,Mercado!$J$23:$N$26,4,FALSE),HLOOKUP(AJ$21,Mercado!#REF!,4,FALSE))</f>
        <v>609290.19358987862</v>
      </c>
      <c r="AK23" s="215">
        <f>IF(Resultados!$C$10="Projeções SIGLASUL",HLOOKUP(AK$21,Mercado!$J$23:$N$26,4,FALSE),HLOOKUP(AK$21,Mercado!#REF!,4,FALSE))</f>
        <v>623121.08098436892</v>
      </c>
    </row>
    <row r="24" spans="2:37">
      <c r="B24" s="130"/>
      <c r="C24" s="39"/>
      <c r="D24" s="270"/>
      <c r="E24" s="270"/>
      <c r="F24" s="270"/>
      <c r="G24" s="270"/>
      <c r="H24" s="270"/>
      <c r="I24" s="270"/>
      <c r="J24" s="323"/>
      <c r="L24" s="217" t="s">
        <v>402</v>
      </c>
      <c r="M24" s="270">
        <f>'BD Custos Operacionais'!J73</f>
        <v>34544935.330500007</v>
      </c>
      <c r="N24" s="319">
        <f>M24/SUM($M$20:$M$24)</f>
        <v>7.7406754602503014E-2</v>
      </c>
      <c r="O24" s="25"/>
      <c r="P24" s="25"/>
      <c r="Q24" s="25"/>
      <c r="S24" s="323"/>
      <c r="AB24" s="323"/>
      <c r="AD24" s="216" t="s">
        <v>406</v>
      </c>
      <c r="AE24" s="34" t="s">
        <v>73</v>
      </c>
      <c r="AF24" s="265">
        <f>$AG$12</f>
        <v>51606830.00000003</v>
      </c>
      <c r="AG24" s="215">
        <f>AG22*AVERAGE(AF23:AG23)*365/1000</f>
        <v>53717235.662638091</v>
      </c>
      <c r="AH24" s="215">
        <f>AH22*AVERAGE(AG23:AH23)*365/1000</f>
        <v>56982704.080217376</v>
      </c>
      <c r="AI24" s="215">
        <f>AI22*AVERAGE(AH23:AI23)*365/1000</f>
        <v>57631087.35070356</v>
      </c>
      <c r="AJ24" s="215">
        <f>AJ22*AVERAGE(AI23:AJ23)*365/1000</f>
        <v>58279544.604084328</v>
      </c>
      <c r="AK24" s="215">
        <f>AK22*AVERAGE(AJ23:AK23)*365/1000</f>
        <v>58927745.093767658</v>
      </c>
    </row>
    <row r="25" spans="2:37">
      <c r="B25" s="130"/>
      <c r="C25" s="39"/>
      <c r="D25" s="270"/>
      <c r="E25" s="270"/>
      <c r="F25" s="270"/>
      <c r="G25" s="270"/>
      <c r="H25" s="270"/>
      <c r="I25" s="270"/>
      <c r="J25" s="323"/>
      <c r="L25" s="135"/>
      <c r="M25" s="25"/>
      <c r="N25" s="25"/>
      <c r="O25" s="25"/>
      <c r="P25" s="25"/>
      <c r="Q25" s="25"/>
      <c r="S25" s="323"/>
      <c r="AB25" s="323"/>
      <c r="AD25" s="216" t="s">
        <v>405</v>
      </c>
      <c r="AE25" s="212" t="s">
        <v>73</v>
      </c>
      <c r="AF25" s="265">
        <f>AG10</f>
        <v>74062000</v>
      </c>
      <c r="AG25" s="215">
        <f>IF(Resultados!$C$10="Projeções SIGLASUL",HLOOKUP(AG$21,Mercado!$J$23:$N$26,3,FALSE),HLOOKUP(AG$21,Mercado!#REF!,3,FALSE))</f>
        <v>89902059.663192779</v>
      </c>
      <c r="AH25" s="215">
        <f>IF(Resultados!$C$10="Projeções SIGLASUL",HLOOKUP(AH$21,Mercado!$J$23:$N$26,3,FALSE),HLOOKUP(AH$21,Mercado!#REF!,3,FALSE))</f>
        <v>91942836.417547241</v>
      </c>
      <c r="AI25" s="215">
        <f>IF(Resultados!$C$10="Projeções SIGLASUL",HLOOKUP(AI$21,Mercado!$J$23:$N$26,3,FALSE),HLOOKUP(AI$21,Mercado!#REF!,3,FALSE))</f>
        <v>94029938.804225564</v>
      </c>
      <c r="AJ25" s="215">
        <f>IF(Resultados!$C$10="Projeções SIGLASUL",HLOOKUP(AJ$21,Mercado!$J$23:$N$26,3,FALSE),HLOOKUP(AJ$21,Mercado!#REF!,3,FALSE))</f>
        <v>96164418.415081486</v>
      </c>
      <c r="AK25" s="215">
        <f>IF(Resultados!$C$10="Projeções SIGLASUL",HLOOKUP(AK$21,Mercado!$J$23:$N$26,3,FALSE),HLOOKUP(AK$21,Mercado!#REF!,3,FALSE))</f>
        <v>98347350.713103816</v>
      </c>
    </row>
    <row r="26" spans="2:37">
      <c r="B26" s="130"/>
      <c r="C26" s="39"/>
      <c r="D26" s="270"/>
      <c r="E26" s="270"/>
      <c r="F26" s="270"/>
      <c r="G26" s="270"/>
      <c r="H26" s="270"/>
      <c r="I26" s="270"/>
      <c r="J26" s="323"/>
      <c r="S26" s="323"/>
      <c r="AB26" s="323"/>
      <c r="AD26" s="216" t="s">
        <v>173</v>
      </c>
      <c r="AE26" s="212" t="s">
        <v>73</v>
      </c>
      <c r="AF26" s="265">
        <f>AG11</f>
        <v>9006000</v>
      </c>
      <c r="AG26" s="215">
        <f>AF26</f>
        <v>9006000</v>
      </c>
      <c r="AH26" s="215">
        <f>AG26</f>
        <v>9006000</v>
      </c>
      <c r="AI26" s="215">
        <f>AH26</f>
        <v>9006000</v>
      </c>
      <c r="AJ26" s="215">
        <f>AI26</f>
        <v>9006000</v>
      </c>
      <c r="AK26" s="215">
        <f>AJ26</f>
        <v>9006000</v>
      </c>
    </row>
    <row r="27" spans="2:37">
      <c r="B27" s="130"/>
      <c r="C27" s="39"/>
      <c r="D27" s="270"/>
      <c r="E27" s="270"/>
      <c r="F27" s="270"/>
      <c r="G27" s="270"/>
      <c r="H27" s="270"/>
      <c r="I27" s="270"/>
      <c r="J27" s="323"/>
      <c r="L27" s="25"/>
      <c r="M27" s="25"/>
      <c r="N27" s="25"/>
      <c r="O27" s="25"/>
      <c r="P27" s="320" t="str">
        <f>" = 2024"</f>
        <v xml:space="preserve"> = 2024</v>
      </c>
      <c r="Q27" s="25"/>
      <c r="S27" s="323"/>
      <c r="AB27" s="323"/>
      <c r="AD27" s="216" t="s">
        <v>174</v>
      </c>
      <c r="AE27" s="34" t="s">
        <v>73</v>
      </c>
      <c r="AF27" s="265">
        <f t="shared" ref="AF27:AK27" si="3">SUM(AF24:AF26)</f>
        <v>134674830.00000003</v>
      </c>
      <c r="AG27" s="215">
        <f t="shared" si="3"/>
        <v>152625295.32583088</v>
      </c>
      <c r="AH27" s="215">
        <f t="shared" si="3"/>
        <v>157931540.49776462</v>
      </c>
      <c r="AI27" s="215">
        <f t="shared" si="3"/>
        <v>160667026.15492913</v>
      </c>
      <c r="AJ27" s="215">
        <f t="shared" si="3"/>
        <v>163449963.01916581</v>
      </c>
      <c r="AK27" s="215">
        <f t="shared" si="3"/>
        <v>166281095.80687147</v>
      </c>
    </row>
    <row r="28" spans="2:37" ht="25.5">
      <c r="B28" s="329" t="s">
        <v>431</v>
      </c>
      <c r="J28" s="323"/>
      <c r="L28" s="29" t="s">
        <v>470</v>
      </c>
      <c r="M28" s="29" t="s">
        <v>629</v>
      </c>
      <c r="N28" s="29" t="s">
        <v>471</v>
      </c>
      <c r="O28" s="29" t="s">
        <v>472</v>
      </c>
      <c r="P28" s="160" t="s">
        <v>481</v>
      </c>
      <c r="Q28" s="29" t="s">
        <v>473</v>
      </c>
      <c r="S28" s="323"/>
      <c r="AB28" s="323"/>
      <c r="AD28" s="220"/>
      <c r="AE28" s="119"/>
      <c r="AF28" s="119"/>
      <c r="AG28" s="119"/>
      <c r="AH28" s="119"/>
      <c r="AI28" s="119"/>
      <c r="AJ28" s="119"/>
      <c r="AK28" s="119"/>
    </row>
    <row r="29" spans="2:37">
      <c r="J29" s="323"/>
      <c r="L29" s="130" t="s">
        <v>392</v>
      </c>
      <c r="M29" s="270">
        <f>'BD Custos Operacionais'!J11</f>
        <v>108964670.48249999</v>
      </c>
      <c r="N29" s="270">
        <f>'BD Custos Operacionais'!T10</f>
        <v>73</v>
      </c>
      <c r="O29" s="270">
        <f t="shared" ref="O29:O34" si="4">M29/N29</f>
        <v>1492666.718938356</v>
      </c>
      <c r="P29" s="270">
        <f>N29</f>
        <v>73</v>
      </c>
      <c r="Q29" s="270">
        <f>O29*P29</f>
        <v>108964670.48249999</v>
      </c>
      <c r="S29" s="323"/>
      <c r="AB29" s="323"/>
    </row>
    <row r="30" spans="2:37">
      <c r="B30" s="616" t="s">
        <v>50</v>
      </c>
      <c r="C30" s="617"/>
      <c r="D30" s="29">
        <v>2024</v>
      </c>
      <c r="E30" s="29">
        <v>2025</v>
      </c>
      <c r="F30" s="29">
        <v>2026</v>
      </c>
      <c r="G30" s="29">
        <v>2027</v>
      </c>
      <c r="H30" s="29">
        <v>2028</v>
      </c>
      <c r="I30" s="29">
        <v>2029</v>
      </c>
      <c r="J30" s="323"/>
      <c r="L30" s="130" t="s">
        <v>396</v>
      </c>
      <c r="M30" s="270">
        <f>M20</f>
        <v>108964670.48249999</v>
      </c>
      <c r="N30" s="270">
        <f>N20*'BD Custos Operacionais'!$T$13</f>
        <v>125.74404135535517</v>
      </c>
      <c r="O30" s="270">
        <f t="shared" si="4"/>
        <v>866559.31611553393</v>
      </c>
      <c r="P30" s="270">
        <f t="shared" ref="P30:P34" si="5">N30</f>
        <v>125.74404135535517</v>
      </c>
      <c r="Q30" s="270">
        <f t="shared" ref="Q30:Q34" si="6">O30*P30</f>
        <v>108964670.48249999</v>
      </c>
      <c r="S30" s="323"/>
      <c r="AB30" s="323"/>
    </row>
    <row r="31" spans="2:37">
      <c r="B31" s="613" t="s">
        <v>4</v>
      </c>
      <c r="C31" s="614"/>
      <c r="D31" s="131">
        <f>SUM(D$12:D$27)*VLOOKUP(DATA_BASE,IPCA!$B$5:$C$382,2,FALSE)/VLOOKUP($D$9,IPCA!$B$5:$C$382,2,FALSE)</f>
        <v>478868192.22935158</v>
      </c>
      <c r="E31" s="131">
        <f>SUM(E$12:E$27)*VLOOKUP(DATA_BASE,IPCA!$B$5:$C$382,2,FALSE)/VLOOKUP($D$9,IPCA!$B$5:$C$382,2,FALSE)</f>
        <v>526546781.66772765</v>
      </c>
      <c r="F31" s="131">
        <f>SUM(F$12:F$27)*VLOOKUP(DATA_BASE,IPCA!$B$5:$C$382,2,FALSE)/VLOOKUP($D$9,IPCA!$B$5:$C$382,2,FALSE)*(1-FP)^(F$30-$E$30)</f>
        <v>523589543.41263753</v>
      </c>
      <c r="G31" s="131">
        <f>SUM(G$12:G$27)*VLOOKUP(DATA_BASE,IPCA!$B$5:$C$382,2,FALSE)/VLOOKUP($D$9,IPCA!$B$5:$C$382,2,FALSE)*(1-FP)^(G$30-$E$30)</f>
        <v>516183801.54421496</v>
      </c>
      <c r="H31" s="131">
        <f>SUM(H$12:H$27)*VLOOKUP(DATA_BASE,IPCA!$B$5:$C$382,2,FALSE)/VLOOKUP($D$9,IPCA!$B$5:$C$382,2,FALSE)*(1-FP)^(H$30-$E$30)</f>
        <v>508914376.45337176</v>
      </c>
      <c r="I31" s="131">
        <f>SUM(I$12:I$27)*VLOOKUP(DATA_BASE,IPCA!$B$5:$C$382,2,FALSE)/VLOOKUP($D$9,IPCA!$B$5:$C$382,2,FALSE)*(1-FP)^(I$30-$E$30)</f>
        <v>501778005.11115789</v>
      </c>
      <c r="J31" s="323"/>
      <c r="L31" s="130" t="s">
        <v>397</v>
      </c>
      <c r="M31" s="270">
        <f>M21</f>
        <v>37206138.406499997</v>
      </c>
      <c r="N31" s="270">
        <f>N21*'BD Custos Operacionais'!$T$13</f>
        <v>42.93547794660082</v>
      </c>
      <c r="O31" s="270">
        <f t="shared" si="4"/>
        <v>866559.31611553393</v>
      </c>
      <c r="P31" s="270">
        <f t="shared" si="5"/>
        <v>42.93547794660082</v>
      </c>
      <c r="Q31" s="270">
        <f t="shared" si="6"/>
        <v>37206138.406499997</v>
      </c>
      <c r="S31" s="323"/>
      <c r="AB31" s="323"/>
    </row>
    <row r="32" spans="2:37">
      <c r="J32" s="323"/>
      <c r="L32" s="217" t="s">
        <v>401</v>
      </c>
      <c r="M32" s="270">
        <f>M22</f>
        <v>178108158.63750002</v>
      </c>
      <c r="N32" s="270">
        <f>N22*'BD Custos Operacionais'!$T$13</f>
        <v>205.53487259925063</v>
      </c>
      <c r="O32" s="270">
        <f t="shared" si="4"/>
        <v>866559.31611553393</v>
      </c>
      <c r="P32" s="270">
        <f t="shared" si="5"/>
        <v>205.53487259925063</v>
      </c>
      <c r="Q32" s="270">
        <f t="shared" si="6"/>
        <v>178108158.63750002</v>
      </c>
      <c r="S32" s="323"/>
      <c r="AB32" s="323"/>
    </row>
    <row r="33" spans="4:28">
      <c r="D33" s="26">
        <f>SUM(D$12:D$27)*VLOOKUP(DATA_BASE,IPCA!$B$5:$C$382,2,FALSE)/VLOOKUP($D$9,IPCA!$B$5:$C$382,2,FALSE)</f>
        <v>478868192.22935158</v>
      </c>
      <c r="E33" s="26">
        <f>SUM(E$12:E$27)*VLOOKUP(DATA_BASE,IPCA!$B$5:$C$382,2,FALSE)/VLOOKUP($D$9,IPCA!$B$5:$C$382,2,FALSE)</f>
        <v>526546781.66772765</v>
      </c>
      <c r="F33" s="26">
        <f>SUM(F$12:F$27)*VLOOKUP(DATA_BASE,IPCA!$B$5:$C$382,2,FALSE)/VLOOKUP($D$9,IPCA!$B$5:$C$382,2,FALSE)</f>
        <v>539078005.54991889</v>
      </c>
      <c r="G33" s="26">
        <f>SUM(G$12:G$27)*VLOOKUP(DATA_BASE,IPCA!$B$5:$C$382,2,FALSE)/VLOOKUP($D$9,IPCA!$B$5:$C$382,2,FALSE)</f>
        <v>547174271.30226839</v>
      </c>
      <c r="H33" s="26">
        <f>SUM(H$12:H$27)*VLOOKUP(DATA_BASE,IPCA!$B$5:$C$382,2,FALSE)/VLOOKUP($D$9,IPCA!$B$5:$C$382,2,FALSE)</f>
        <v>555426586.55490267</v>
      </c>
      <c r="I33" s="26">
        <f>SUM(I$12:I$27)*VLOOKUP(DATA_BASE,IPCA!$B$5:$C$382,2,FALSE)/VLOOKUP($D$9,IPCA!$B$5:$C$382,2,FALSE)</f>
        <v>563837833.30891883</v>
      </c>
      <c r="J33" s="323"/>
      <c r="L33" s="130" t="s">
        <v>393</v>
      </c>
      <c r="M33" s="270">
        <f>M23</f>
        <v>87454144.94250001</v>
      </c>
      <c r="N33" s="270">
        <f>N23*'BD Custos Operacionais'!$T$13</f>
        <v>100.92112947850438</v>
      </c>
      <c r="O33" s="270">
        <f t="shared" si="4"/>
        <v>866559.31611553393</v>
      </c>
      <c r="P33" s="270">
        <f t="shared" si="5"/>
        <v>100.92112947850438</v>
      </c>
      <c r="Q33" s="270">
        <f t="shared" si="6"/>
        <v>87454144.94250001</v>
      </c>
      <c r="S33" s="323"/>
      <c r="AB33" s="323"/>
    </row>
    <row r="34" spans="4:28">
      <c r="J34" s="323"/>
      <c r="L34" s="217"/>
      <c r="M34" s="270">
        <f>M24</f>
        <v>34544935.330500007</v>
      </c>
      <c r="N34" s="270">
        <f>N24*'BD Custos Operacionais'!$T$13</f>
        <v>39.864478620289049</v>
      </c>
      <c r="O34" s="270">
        <f t="shared" si="4"/>
        <v>866559.31611553405</v>
      </c>
      <c r="P34" s="270">
        <f t="shared" si="5"/>
        <v>39.864478620289049</v>
      </c>
      <c r="Q34" s="270">
        <f t="shared" si="6"/>
        <v>34544935.330500007</v>
      </c>
      <c r="S34" s="323"/>
      <c r="AB34" s="323"/>
    </row>
    <row r="35" spans="4:28">
      <c r="E35" s="31"/>
      <c r="J35" s="323"/>
      <c r="L35" s="135"/>
      <c r="S35" s="323"/>
      <c r="AB35" s="323"/>
    </row>
    <row r="36" spans="4:28"/>
    <row r="37" spans="4:28"/>
  </sheetData>
  <sheetProtection algorithmName="SHA-512" hashValue="weVSZG0ABfNW8FKXwmqLygM6BMJ3CUl+0VGzjsEyBCyCJ5NQYZPE93twAvwz4CPCaMN2SC6V5z9c9cq4mqMOHg==" saltValue="a8P8244VhzCCxbKMx3ZH3A==" spinCount="100000" sheet="1" objects="1" scenarios="1" selectLockedCells="1" selectUnlockedCells="1"/>
  <mergeCells count="6">
    <mergeCell ref="B31:C31"/>
    <mergeCell ref="A1:B1"/>
    <mergeCell ref="W7:AA7"/>
    <mergeCell ref="E10:I10"/>
    <mergeCell ref="M7:R7"/>
    <mergeCell ref="B30:C30"/>
  </mergeCells>
  <conditionalFormatting sqref="B10 AB26:AB32">
    <cfRule type="expression" dxfId="103" priority="63">
      <formula>B10&lt;0</formula>
    </cfRule>
  </conditionalFormatting>
  <conditionalFormatting sqref="B23:B25">
    <cfRule type="expression" dxfId="102" priority="81">
      <formula>B23&lt;0</formula>
    </cfRule>
  </conditionalFormatting>
  <conditionalFormatting sqref="C7:C8">
    <cfRule type="expression" dxfId="101" priority="45">
      <formula>C7&lt;0</formula>
    </cfRule>
  </conditionalFormatting>
  <conditionalFormatting sqref="C12:D13">
    <cfRule type="expression" dxfId="100" priority="143">
      <formula>C12&lt;0</formula>
    </cfRule>
  </conditionalFormatting>
  <conditionalFormatting sqref="D26">
    <cfRule type="expression" dxfId="99" priority="75">
      <formula>D26&lt;0</formula>
    </cfRule>
  </conditionalFormatting>
  <conditionalFormatting sqref="J10:T25 B12:I28 V20:V21 J26:K26 R26:T26 L27:Q27 B31 D31:I31">
    <cfRule type="expression" dxfId="98" priority="144">
      <formula>B10&lt;0</formula>
    </cfRule>
  </conditionalFormatting>
  <conditionalFormatting sqref="L20:N24">
    <cfRule type="expression" dxfId="97" priority="8">
      <formula>L20&lt;0</formula>
    </cfRule>
  </conditionalFormatting>
  <conditionalFormatting sqref="L29:Q34">
    <cfRule type="expression" dxfId="96" priority="1">
      <formula>L29&lt;0</formula>
    </cfRule>
  </conditionalFormatting>
  <conditionalFormatting sqref="L9:R16">
    <cfRule type="expression" dxfId="95" priority="46">
      <formula>L9&lt;0</formula>
    </cfRule>
  </conditionalFormatting>
  <conditionalFormatting sqref="U9:AB17">
    <cfRule type="expression" dxfId="94" priority="67">
      <formula>U9&lt;0</formula>
    </cfRule>
  </conditionalFormatting>
  <conditionalFormatting sqref="V9:V13">
    <cfRule type="expression" dxfId="93" priority="125">
      <formula>V9&lt;0</formula>
    </cfRule>
  </conditionalFormatting>
  <conditionalFormatting sqref="W10:W13">
    <cfRule type="expression" dxfId="92" priority="102">
      <formula>W10&lt;0</formula>
    </cfRule>
  </conditionalFormatting>
  <conditionalFormatting sqref="W15">
    <cfRule type="expression" dxfId="91" priority="84">
      <formula>W15&lt;0</formula>
    </cfRule>
  </conditionalFormatting>
  <conditionalFormatting sqref="W14:AB17">
    <cfRule type="expression" dxfId="90" priority="87">
      <formula>W14&lt;0</formula>
    </cfRule>
  </conditionalFormatting>
  <conditionalFormatting sqref="X12:AB13">
    <cfRule type="expression" dxfId="89" priority="90">
      <formula>X12&lt;0</formula>
    </cfRule>
  </conditionalFormatting>
  <conditionalFormatting sqref="AD19">
    <cfRule type="expression" dxfId="88" priority="17">
      <formula>AD19&lt;0</formula>
    </cfRule>
  </conditionalFormatting>
  <conditionalFormatting sqref="AD22:AD28">
    <cfRule type="expression" dxfId="87" priority="3">
      <formula>AD22&lt;0</formula>
    </cfRule>
  </conditionalFormatting>
  <conditionalFormatting sqref="AD9:AG14">
    <cfRule type="expression" dxfId="86" priority="11">
      <formula>AD9&lt;0</formula>
    </cfRule>
  </conditionalFormatting>
  <conditionalFormatting sqref="AD18:AJ18">
    <cfRule type="expression" dxfId="85" priority="36">
      <formula>AD18&lt;0</formula>
    </cfRule>
  </conditionalFormatting>
  <conditionalFormatting sqref="AE22:AE27">
    <cfRule type="expression" dxfId="84" priority="42">
      <formula>AE22&lt;0</formula>
    </cfRule>
  </conditionalFormatting>
  <conditionalFormatting sqref="AE28:AK28">
    <cfRule type="expression" dxfId="83" priority="43">
      <formula>AE28&lt;0</formula>
    </cfRule>
  </conditionalFormatting>
  <conditionalFormatting sqref="AF22:AF26">
    <cfRule type="expression" dxfId="82" priority="27">
      <formula>AF22&lt;0</formula>
    </cfRule>
  </conditionalFormatting>
  <conditionalFormatting sqref="AF27:AK27">
    <cfRule type="expression" dxfId="81" priority="30">
      <formula>AF27&lt;0</formula>
    </cfRule>
  </conditionalFormatting>
  <conditionalFormatting sqref="AG22:AG24">
    <cfRule type="expression" dxfId="80" priority="35">
      <formula>AG22&lt;0</formula>
    </cfRule>
  </conditionalFormatting>
  <conditionalFormatting sqref="AG23:AK27">
    <cfRule type="expression" dxfId="79" priority="18">
      <formula>AG23&lt;0</formula>
    </cfRule>
  </conditionalFormatting>
  <conditionalFormatting sqref="AH22:AK27">
    <cfRule type="expression" dxfId="78" priority="19">
      <formula>AH22&lt;0</formula>
    </cfRule>
  </conditionalFormatting>
  <conditionalFormatting sqref="AI14">
    <cfRule type="expression" dxfId="77" priority="23">
      <formula>AI14&lt;0</formula>
    </cfRule>
  </conditionalFormatting>
  <dataValidations disablePrompts="1" count="1">
    <dataValidation type="list" allowBlank="1" showInputMessage="1" showErrorMessage="1" sqref="C14:C27">
      <formula1>$L$9:$L$17</formula1>
    </dataValidation>
  </dataValidations>
  <pageMargins left="0.511811024" right="0.511811024" top="0.78740157499999996" bottom="0.78740157499999996" header="0.31496062000000002" footer="0.31496062000000002"/>
  <ignoredErrors>
    <ignoredError sqref="E12:I14 D12:D13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P104"/>
  <sheetViews>
    <sheetView showGridLines="0" zoomScale="80" zoomScaleNormal="80" workbookViewId="0">
      <selection activeCell="B2" sqref="B2:B3"/>
    </sheetView>
  </sheetViews>
  <sheetFormatPr defaultColWidth="0" defaultRowHeight="15" zeroHeight="1"/>
  <cols>
    <col min="1" max="1" width="3.42578125" customWidth="1"/>
    <col min="2" max="2" width="44.7109375" customWidth="1"/>
    <col min="3" max="3" width="19.42578125" bestFit="1" customWidth="1"/>
    <col min="4" max="11" width="12.85546875" customWidth="1"/>
    <col min="12" max="12" width="12.85546875" style="28" customWidth="1"/>
    <col min="13" max="13" width="12.85546875" customWidth="1"/>
    <col min="14" max="14" width="13" customWidth="1"/>
    <col min="15" max="15" width="6.28515625" customWidth="1"/>
    <col min="16" max="16" width="8.7109375" customWidth="1"/>
    <col min="17" max="16384" width="8.7109375" hidden="1"/>
  </cols>
  <sheetData>
    <row r="1" spans="1:14">
      <c r="A1" s="601"/>
      <c r="B1" s="601"/>
    </row>
    <row r="2" spans="1:14">
      <c r="A2" s="4"/>
      <c r="B2" s="588" t="s">
        <v>643</v>
      </c>
      <c r="K2" s="624" t="s">
        <v>246</v>
      </c>
      <c r="L2" s="624"/>
      <c r="M2" s="218" t="s">
        <v>379</v>
      </c>
      <c r="N2" s="250"/>
    </row>
    <row r="3" spans="1:14">
      <c r="A3" s="5"/>
      <c r="B3" s="588" t="s">
        <v>644</v>
      </c>
      <c r="L3" s="138"/>
    </row>
    <row r="4" spans="1:14">
      <c r="A4" s="5"/>
      <c r="B4" s="1"/>
      <c r="L4"/>
    </row>
    <row r="5" spans="1:14">
      <c r="A5" s="5"/>
      <c r="B5" s="251"/>
      <c r="I5" s="252"/>
      <c r="J5" s="253"/>
      <c r="K5" s="253"/>
      <c r="L5" s="253"/>
      <c r="M5" s="253"/>
      <c r="N5" s="253"/>
    </row>
    <row r="6" spans="1:14">
      <c r="A6" s="5"/>
      <c r="B6" s="123" t="s">
        <v>358</v>
      </c>
      <c r="D6" s="618" t="s">
        <v>384</v>
      </c>
      <c r="E6" s="619"/>
      <c r="F6" s="619"/>
      <c r="G6" s="619"/>
      <c r="H6" s="619"/>
      <c r="I6" s="620"/>
      <c r="J6" s="621" t="s">
        <v>248</v>
      </c>
      <c r="K6" s="622"/>
      <c r="L6" s="622"/>
      <c r="M6" s="622"/>
      <c r="N6" s="623"/>
    </row>
    <row r="7" spans="1:14">
      <c r="A7" s="5"/>
      <c r="B7" s="32" t="s">
        <v>139</v>
      </c>
      <c r="C7" s="32" t="s">
        <v>49</v>
      </c>
      <c r="D7" s="122">
        <v>2019</v>
      </c>
      <c r="E7" s="122">
        <v>2020</v>
      </c>
      <c r="F7" s="122">
        <v>2021</v>
      </c>
      <c r="G7" s="122">
        <v>2022</v>
      </c>
      <c r="H7" s="122">
        <v>2023</v>
      </c>
      <c r="I7" s="122">
        <v>2024</v>
      </c>
      <c r="J7" s="258">
        <v>2025</v>
      </c>
      <c r="K7" s="258">
        <v>2026</v>
      </c>
      <c r="L7" s="258">
        <v>2027</v>
      </c>
      <c r="M7" s="258">
        <v>2028</v>
      </c>
      <c r="N7" s="258">
        <v>2029</v>
      </c>
    </row>
    <row r="8" spans="1:14">
      <c r="A8" s="5"/>
      <c r="B8" s="219" t="s">
        <v>249</v>
      </c>
      <c r="C8" s="34" t="s">
        <v>59</v>
      </c>
      <c r="D8" s="423">
        <f>D24*0.9234</f>
        <v>496766.11499999999</v>
      </c>
      <c r="E8" s="423">
        <f t="shared" ref="E8:I8" si="0">E24*0.9234</f>
        <v>500835.07709999999</v>
      </c>
      <c r="F8" s="423">
        <f t="shared" si="0"/>
        <v>504904.0392</v>
      </c>
      <c r="G8" s="423">
        <f t="shared" si="0"/>
        <v>517501.06199999998</v>
      </c>
      <c r="H8" s="423">
        <f t="shared" si="0"/>
        <v>529856.15399999998</v>
      </c>
      <c r="I8" s="423">
        <f t="shared" si="0"/>
        <v>541067.61510000005</v>
      </c>
      <c r="J8" s="423">
        <f>J24*0.9234</f>
        <v>552279.07620000001</v>
      </c>
      <c r="K8" s="423">
        <f t="shared" ref="K8:N8" si="1">K24*0.9234</f>
        <v>564815.81122973992</v>
      </c>
      <c r="L8" s="423">
        <f t="shared" si="1"/>
        <v>577637.13014465501</v>
      </c>
      <c r="M8" s="423">
        <f t="shared" si="1"/>
        <v>590749.49299893866</v>
      </c>
      <c r="N8" s="423">
        <f t="shared" si="1"/>
        <v>604159.50649001449</v>
      </c>
    </row>
    <row r="9" spans="1:14">
      <c r="A9" s="5"/>
      <c r="B9" s="219" t="s">
        <v>250</v>
      </c>
      <c r="C9" s="34" t="s">
        <v>251</v>
      </c>
      <c r="D9" s="254">
        <f>D10/12/D8</f>
        <v>10.340266632987504</v>
      </c>
      <c r="E9" s="254">
        <f t="shared" ref="E9:I9" si="2">E10/12/E8</f>
        <v>10.318418150588439</v>
      </c>
      <c r="F9" s="254">
        <f t="shared" si="2"/>
        <v>10.506534750125114</v>
      </c>
      <c r="G9" s="254">
        <f t="shared" si="2"/>
        <v>10.270251226395875</v>
      </c>
      <c r="H9" s="254">
        <f t="shared" si="2"/>
        <v>11.651590002419161</v>
      </c>
      <c r="I9" s="254">
        <f t="shared" si="2"/>
        <v>12.066006295337781</v>
      </c>
      <c r="J9" s="254">
        <f>I9</f>
        <v>12.066006295337781</v>
      </c>
      <c r="K9" s="254">
        <f>J9</f>
        <v>12.066006295337781</v>
      </c>
      <c r="L9" s="254">
        <f>K9</f>
        <v>12.066006295337781</v>
      </c>
      <c r="M9" s="254">
        <f>L9</f>
        <v>12.066006295337781</v>
      </c>
      <c r="N9" s="254">
        <f>M9</f>
        <v>12.066006295337781</v>
      </c>
    </row>
    <row r="10" spans="1:14">
      <c r="A10" s="5"/>
      <c r="B10" s="219" t="s">
        <v>252</v>
      </c>
      <c r="C10" s="34" t="s">
        <v>73</v>
      </c>
      <c r="D10" s="423">
        <v>61640329</v>
      </c>
      <c r="E10" s="423">
        <v>62013909</v>
      </c>
      <c r="F10" s="423">
        <v>63657502</v>
      </c>
      <c r="G10" s="423">
        <v>63778391</v>
      </c>
      <c r="H10" s="423">
        <v>74084000</v>
      </c>
      <c r="I10" s="423">
        <v>78342303</v>
      </c>
      <c r="J10" s="259">
        <f>J9*J8*12</f>
        <v>79965633.722550407</v>
      </c>
      <c r="K10" s="259">
        <f t="shared" ref="K10:M10" si="3">K9*K8*12</f>
        <v>81780853.608052284</v>
      </c>
      <c r="L10" s="259">
        <f t="shared" si="3"/>
        <v>83637278.984955072</v>
      </c>
      <c r="M10" s="259">
        <f t="shared" si="3"/>
        <v>85535845.217913553</v>
      </c>
      <c r="N10" s="259">
        <f>N9*N8*12</f>
        <v>87477508.904360175</v>
      </c>
    </row>
    <row r="11" spans="1:14">
      <c r="A11" s="5"/>
      <c r="B11" s="219" t="s">
        <v>253</v>
      </c>
      <c r="C11" s="34" t="s">
        <v>59</v>
      </c>
      <c r="D11" s="423">
        <f>D26*0.9234</f>
        <v>471886.94880000001</v>
      </c>
      <c r="E11" s="423">
        <f t="shared" ref="E11:G11" si="4">E26*0.9234</f>
        <v>478458.78659999999</v>
      </c>
      <c r="F11" s="423">
        <f t="shared" si="4"/>
        <v>485030.62439999997</v>
      </c>
      <c r="G11" s="423">
        <f t="shared" si="4"/>
        <v>497189.03220000002</v>
      </c>
      <c r="H11" s="423">
        <f>H8/1.05</f>
        <v>504624.9085714285</v>
      </c>
      <c r="I11" s="423">
        <f>I8/1.05</f>
        <v>515302.49057142861</v>
      </c>
      <c r="J11" s="259">
        <f>J8/J12</f>
        <v>525980.07257142861</v>
      </c>
      <c r="K11" s="259">
        <f t="shared" ref="K11:N11" si="5">K8/K12</f>
        <v>537919.82021879987</v>
      </c>
      <c r="L11" s="259">
        <f t="shared" si="5"/>
        <v>550130.60013776668</v>
      </c>
      <c r="M11" s="259">
        <f t="shared" si="5"/>
        <v>562618.56476089393</v>
      </c>
      <c r="N11" s="259">
        <f t="shared" si="5"/>
        <v>575390.00618096616</v>
      </c>
    </row>
    <row r="12" spans="1:14">
      <c r="A12" s="5"/>
      <c r="B12" s="219" t="s">
        <v>359</v>
      </c>
      <c r="C12" s="34" t="s">
        <v>360</v>
      </c>
      <c r="D12" s="254">
        <v>1.05</v>
      </c>
      <c r="E12" s="254">
        <v>1.05</v>
      </c>
      <c r="F12" s="254">
        <v>1.05</v>
      </c>
      <c r="G12" s="254">
        <v>1.05</v>
      </c>
      <c r="H12" s="254">
        <v>1.05</v>
      </c>
      <c r="I12" s="254">
        <v>1.05</v>
      </c>
      <c r="J12" s="254">
        <v>1.05</v>
      </c>
      <c r="K12" s="254">
        <v>1.05</v>
      </c>
      <c r="L12" s="254">
        <v>1.05</v>
      </c>
      <c r="M12" s="254">
        <v>1.05</v>
      </c>
      <c r="N12" s="254">
        <v>1.05</v>
      </c>
    </row>
    <row r="13" spans="1:14">
      <c r="B13" s="139"/>
      <c r="C13" s="114"/>
      <c r="D13" s="255"/>
      <c r="E13" s="255"/>
      <c r="F13" s="255"/>
      <c r="G13" s="255"/>
      <c r="H13" s="255"/>
      <c r="I13" s="473"/>
      <c r="J13" s="255"/>
      <c r="K13" s="255"/>
      <c r="L13" s="255"/>
      <c r="M13" s="255"/>
      <c r="N13" s="255"/>
    </row>
    <row r="14" spans="1:14">
      <c r="A14" s="5"/>
      <c r="B14" s="123" t="s">
        <v>361</v>
      </c>
      <c r="D14" s="618" t="s">
        <v>247</v>
      </c>
      <c r="E14" s="619"/>
      <c r="F14" s="619"/>
      <c r="G14" s="619"/>
      <c r="H14" s="619"/>
      <c r="I14" s="620"/>
      <c r="J14" s="621" t="s">
        <v>248</v>
      </c>
      <c r="K14" s="622"/>
      <c r="L14" s="622"/>
      <c r="M14" s="622"/>
      <c r="N14" s="623"/>
    </row>
    <row r="15" spans="1:14">
      <c r="A15" s="5"/>
      <c r="B15" s="32" t="s">
        <v>139</v>
      </c>
      <c r="C15" s="32" t="s">
        <v>49</v>
      </c>
      <c r="D15" s="122">
        <v>2019</v>
      </c>
      <c r="E15" s="122">
        <v>2020</v>
      </c>
      <c r="F15" s="122">
        <v>2021</v>
      </c>
      <c r="G15" s="122">
        <v>2022</v>
      </c>
      <c r="H15" s="122">
        <v>2023</v>
      </c>
      <c r="I15" s="122">
        <v>2024</v>
      </c>
      <c r="J15" s="258">
        <v>2025</v>
      </c>
      <c r="K15" s="258">
        <v>2026</v>
      </c>
      <c r="L15" s="258">
        <v>2027</v>
      </c>
      <c r="M15" s="258">
        <v>2028</v>
      </c>
      <c r="N15" s="258">
        <v>2029</v>
      </c>
    </row>
    <row r="16" spans="1:14">
      <c r="A16" s="5"/>
      <c r="B16" s="219" t="s">
        <v>249</v>
      </c>
      <c r="C16" s="34" t="s">
        <v>59</v>
      </c>
      <c r="D16" s="423">
        <f>D24*0.0766</f>
        <v>41208.885000000002</v>
      </c>
      <c r="E16" s="423">
        <f t="shared" ref="E16:I16" si="6">E24*0.0766</f>
        <v>41546.422899999998</v>
      </c>
      <c r="F16" s="423">
        <f t="shared" si="6"/>
        <v>41883.960800000001</v>
      </c>
      <c r="G16" s="423">
        <f t="shared" si="6"/>
        <v>42928.938000000002</v>
      </c>
      <c r="H16" s="423">
        <f t="shared" si="6"/>
        <v>43953.845999999998</v>
      </c>
      <c r="I16" s="423">
        <f t="shared" si="6"/>
        <v>44883.884899999997</v>
      </c>
      <c r="J16" s="35">
        <f>J8/J30</f>
        <v>45813.923800000004</v>
      </c>
      <c r="K16" s="35">
        <f>K8/K30</f>
        <v>46853.89987026</v>
      </c>
      <c r="L16" s="35">
        <f>L8/L30</f>
        <v>47917.4833973149</v>
      </c>
      <c r="M16" s="35">
        <f>M8/M30</f>
        <v>49005.210270433949</v>
      </c>
      <c r="N16" s="35">
        <f>N8/N30</f>
        <v>50117.628543572791</v>
      </c>
    </row>
    <row r="17" spans="1:14">
      <c r="A17" s="5"/>
      <c r="B17" s="219" t="s">
        <v>250</v>
      </c>
      <c r="C17" s="34" t="s">
        <v>251</v>
      </c>
      <c r="D17" s="254">
        <f>D18/12/D16</f>
        <v>14.62038263512023</v>
      </c>
      <c r="E17" s="254">
        <f t="shared" ref="E17:G17" si="7">E18/12/E16</f>
        <v>15.17826219402393</v>
      </c>
      <c r="F17" s="254">
        <f t="shared" si="7"/>
        <v>15.607742697852332</v>
      </c>
      <c r="G17" s="254">
        <f t="shared" si="7"/>
        <v>15.227444014571242</v>
      </c>
      <c r="H17" s="254">
        <f>H18/12/H16</f>
        <v>18.073882924071462</v>
      </c>
      <c r="I17" s="254">
        <f t="shared" ref="I17:N17" si="8">H17</f>
        <v>18.073882924071462</v>
      </c>
      <c r="J17" s="254">
        <f t="shared" si="8"/>
        <v>18.073882924071462</v>
      </c>
      <c r="K17" s="254">
        <f t="shared" si="8"/>
        <v>18.073882924071462</v>
      </c>
      <c r="L17" s="254">
        <f t="shared" si="8"/>
        <v>18.073882924071462</v>
      </c>
      <c r="M17" s="254">
        <f t="shared" si="8"/>
        <v>18.073882924071462</v>
      </c>
      <c r="N17" s="254">
        <f t="shared" si="8"/>
        <v>18.073882924071462</v>
      </c>
    </row>
    <row r="18" spans="1:14">
      <c r="A18" s="5"/>
      <c r="B18" s="219" t="s">
        <v>252</v>
      </c>
      <c r="C18" s="34" t="s">
        <v>73</v>
      </c>
      <c r="D18" s="423">
        <v>7229875.9999999981</v>
      </c>
      <c r="E18" s="423">
        <v>7567230</v>
      </c>
      <c r="F18" s="423">
        <v>7844569</v>
      </c>
      <c r="G18" s="423">
        <v>7844376</v>
      </c>
      <c r="H18" s="423">
        <v>9533000</v>
      </c>
      <c r="I18" s="26">
        <f>H18-H17</f>
        <v>9532981.9261170756</v>
      </c>
      <c r="J18" s="259">
        <f>J17*J16*12</f>
        <v>9936425.9406423755</v>
      </c>
      <c r="K18" s="259">
        <f>K17*K16*12</f>
        <v>10161982.809494955</v>
      </c>
      <c r="L18" s="259">
        <f t="shared" ref="L18:M18" si="9">L17*L16*12</f>
        <v>10392659.819270492</v>
      </c>
      <c r="M18" s="259">
        <f t="shared" si="9"/>
        <v>10628573.197167931</v>
      </c>
      <c r="N18" s="259">
        <f>N17*N16*12</f>
        <v>10869841.808743641</v>
      </c>
    </row>
    <row r="19" spans="1:14">
      <c r="A19" s="5"/>
      <c r="B19" s="219" t="s">
        <v>253</v>
      </c>
      <c r="C19" s="34" t="s">
        <v>59</v>
      </c>
      <c r="D19" s="35">
        <f>D26*0.0766</f>
        <v>39145.051200000002</v>
      </c>
      <c r="E19" s="35">
        <f t="shared" ref="E19:G19" si="10">E26*0.0766</f>
        <v>39690.213400000001</v>
      </c>
      <c r="F19" s="35">
        <f t="shared" si="10"/>
        <v>40235.375599999999</v>
      </c>
      <c r="G19" s="35">
        <f t="shared" si="10"/>
        <v>41243.967799999999</v>
      </c>
      <c r="H19" s="35">
        <f>H16/1.05</f>
        <v>41860.805714285707</v>
      </c>
      <c r="I19" s="35">
        <f>I16/1.05</f>
        <v>42746.557047619041</v>
      </c>
      <c r="J19" s="259">
        <f>J16/J20</f>
        <v>43632.308380952381</v>
      </c>
      <c r="K19" s="259">
        <f t="shared" ref="K19:N19" si="11">K16/K20</f>
        <v>44622.761781199995</v>
      </c>
      <c r="L19" s="259">
        <f t="shared" si="11"/>
        <v>45635.698473633238</v>
      </c>
      <c r="M19" s="259">
        <f t="shared" si="11"/>
        <v>46671.628828984714</v>
      </c>
      <c r="N19" s="259">
        <f t="shared" si="11"/>
        <v>47731.074803402655</v>
      </c>
    </row>
    <row r="20" spans="1:14">
      <c r="A20" s="5"/>
      <c r="B20" s="219" t="s">
        <v>359</v>
      </c>
      <c r="C20" s="34" t="s">
        <v>360</v>
      </c>
      <c r="D20" s="254">
        <v>1.05</v>
      </c>
      <c r="E20" s="254">
        <v>1.05</v>
      </c>
      <c r="F20" s="254">
        <v>1.05</v>
      </c>
      <c r="G20" s="254">
        <v>1.05</v>
      </c>
      <c r="H20" s="254">
        <v>1.05</v>
      </c>
      <c r="I20" s="254">
        <v>1.05</v>
      </c>
      <c r="J20" s="254">
        <v>1.05</v>
      </c>
      <c r="K20" s="254">
        <v>1.05</v>
      </c>
      <c r="L20" s="254">
        <v>1.05</v>
      </c>
      <c r="M20" s="254">
        <v>1.05</v>
      </c>
      <c r="N20" s="254">
        <v>1.05</v>
      </c>
    </row>
    <row r="21" spans="1:14">
      <c r="B21" s="139"/>
      <c r="C21" s="114"/>
      <c r="D21" s="255"/>
      <c r="E21" s="255"/>
      <c r="F21" s="255"/>
      <c r="G21" s="255"/>
      <c r="H21" s="255"/>
      <c r="I21" s="255"/>
      <c r="J21" s="255"/>
      <c r="K21" s="255"/>
      <c r="L21" s="255"/>
      <c r="M21" s="255"/>
      <c r="N21" s="255"/>
    </row>
    <row r="22" spans="1:14">
      <c r="B22" s="123" t="s">
        <v>150</v>
      </c>
      <c r="D22" s="618" t="s">
        <v>247</v>
      </c>
      <c r="E22" s="619"/>
      <c r="F22" s="619"/>
      <c r="G22" s="619"/>
      <c r="H22" s="619"/>
      <c r="I22" s="620"/>
      <c r="J22" s="621" t="s">
        <v>248</v>
      </c>
      <c r="K22" s="622"/>
      <c r="L22" s="622"/>
      <c r="M22" s="622"/>
      <c r="N22" s="623"/>
    </row>
    <row r="23" spans="1:14">
      <c r="B23" s="32" t="s">
        <v>139</v>
      </c>
      <c r="C23" s="32" t="s">
        <v>49</v>
      </c>
      <c r="D23" s="122">
        <v>2019</v>
      </c>
      <c r="E23" s="122">
        <v>2020</v>
      </c>
      <c r="F23" s="122">
        <v>2021</v>
      </c>
      <c r="G23" s="122">
        <v>2022</v>
      </c>
      <c r="H23" s="122">
        <v>2023</v>
      </c>
      <c r="I23" s="122">
        <v>2024</v>
      </c>
      <c r="J23" s="258">
        <v>2025</v>
      </c>
      <c r="K23" s="258">
        <v>2026</v>
      </c>
      <c r="L23" s="258">
        <v>2027</v>
      </c>
      <c r="M23" s="258">
        <v>2028</v>
      </c>
      <c r="N23" s="258">
        <v>2029</v>
      </c>
    </row>
    <row r="24" spans="1:14">
      <c r="B24" s="219" t="s">
        <v>362</v>
      </c>
      <c r="C24" s="34" t="s">
        <v>59</v>
      </c>
      <c r="D24" s="35">
        <v>537975</v>
      </c>
      <c r="E24" s="35">
        <f>(D24+F24)/2</f>
        <v>542381.5</v>
      </c>
      <c r="F24" s="35">
        <v>546788</v>
      </c>
      <c r="G24" s="35">
        <v>560430</v>
      </c>
      <c r="H24" s="35">
        <v>573810</v>
      </c>
      <c r="I24" s="35">
        <f>(H24+J24)/2</f>
        <v>585951.5</v>
      </c>
      <c r="J24" s="35">
        <v>598093</v>
      </c>
      <c r="K24" s="35">
        <f>J24*1.0227</f>
        <v>611669.71109999996</v>
      </c>
      <c r="L24" s="35">
        <f t="shared" ref="L24:N24" si="12">K24*1.0227</f>
        <v>625554.61354196991</v>
      </c>
      <c r="M24" s="35">
        <f t="shared" si="12"/>
        <v>639754.70326937258</v>
      </c>
      <c r="N24" s="35">
        <f t="shared" si="12"/>
        <v>654277.13503358734</v>
      </c>
    </row>
    <row r="25" spans="1:14">
      <c r="B25" s="219" t="s">
        <v>363</v>
      </c>
      <c r="C25" s="34" t="s">
        <v>73</v>
      </c>
      <c r="D25" s="35">
        <v>74603780</v>
      </c>
      <c r="E25" s="35">
        <v>77257210</v>
      </c>
      <c r="F25" s="35">
        <v>78505819.999999985</v>
      </c>
      <c r="G25" s="35">
        <v>78651810.000000015</v>
      </c>
      <c r="H25" s="35">
        <f>H18+H10</f>
        <v>83617000</v>
      </c>
      <c r="I25" s="35">
        <f>SUM(I10,I18)</f>
        <v>87875284.926117077</v>
      </c>
      <c r="J25" s="35">
        <f>SUM(J10,J18)</f>
        <v>89902059.663192779</v>
      </c>
      <c r="K25" s="35">
        <f>SUM(K10,K18)</f>
        <v>91942836.417547241</v>
      </c>
      <c r="L25" s="35">
        <f t="shared" ref="H25:M26" si="13">SUM(L10,L18)</f>
        <v>94029938.804225564</v>
      </c>
      <c r="M25" s="35">
        <f t="shared" si="13"/>
        <v>96164418.415081486</v>
      </c>
      <c r="N25" s="35">
        <f>SUM(N10,N18)</f>
        <v>98347350.713103816</v>
      </c>
    </row>
    <row r="26" spans="1:14">
      <c r="B26" s="219" t="s">
        <v>364</v>
      </c>
      <c r="C26" s="34" t="s">
        <v>59</v>
      </c>
      <c r="D26" s="35">
        <v>511032</v>
      </c>
      <c r="E26" s="35">
        <f>(D26+F26)/2</f>
        <v>518149</v>
      </c>
      <c r="F26" s="35">
        <v>525266</v>
      </c>
      <c r="G26" s="35">
        <v>538433</v>
      </c>
      <c r="H26" s="35">
        <f t="shared" si="13"/>
        <v>546485.7142857142</v>
      </c>
      <c r="I26" s="35">
        <f t="shared" si="13"/>
        <v>558049.04761904769</v>
      </c>
      <c r="J26" s="35">
        <f>J24/1.05</f>
        <v>569612.38095238095</v>
      </c>
      <c r="K26" s="35">
        <f t="shared" ref="K26:N26" si="14">K24/1.05</f>
        <v>582542.58199999994</v>
      </c>
      <c r="L26" s="35">
        <f t="shared" si="14"/>
        <v>595766.29861139983</v>
      </c>
      <c r="M26" s="35">
        <f t="shared" si="14"/>
        <v>609290.19358987862</v>
      </c>
      <c r="N26" s="35">
        <f t="shared" si="14"/>
        <v>623121.08098436892</v>
      </c>
    </row>
    <row r="27" spans="1:14">
      <c r="B27" s="220"/>
      <c r="C27" s="119"/>
      <c r="D27" s="249"/>
      <c r="E27" s="249"/>
      <c r="F27" s="249"/>
      <c r="G27" s="249"/>
      <c r="H27" s="249"/>
      <c r="I27" s="249">
        <f>I25/I24</f>
        <v>149.97023631839338</v>
      </c>
      <c r="J27" s="249">
        <v>89902059.663192779</v>
      </c>
      <c r="K27" s="249">
        <v>91942836.417547241</v>
      </c>
      <c r="L27" s="249">
        <v>94029938.804225564</v>
      </c>
      <c r="M27" s="249">
        <v>96164418.415081486</v>
      </c>
      <c r="N27" s="249">
        <v>98347350.713103816</v>
      </c>
    </row>
    <row r="28" spans="1:14">
      <c r="B28" s="220"/>
      <c r="C28" s="119"/>
      <c r="D28" s="249"/>
      <c r="E28" s="249"/>
      <c r="F28" s="249"/>
      <c r="G28" s="249"/>
      <c r="H28" s="249"/>
      <c r="I28" s="587">
        <f>I27/12</f>
        <v>12.497519693199449</v>
      </c>
      <c r="J28" s="249"/>
      <c r="K28" s="249"/>
      <c r="L28" s="249"/>
      <c r="M28" s="249"/>
      <c r="N28" s="249"/>
    </row>
    <row r="29" spans="1:14">
      <c r="B29" s="32" t="s">
        <v>365</v>
      </c>
      <c r="C29" s="32" t="s">
        <v>49</v>
      </c>
      <c r="D29" s="122">
        <v>2019</v>
      </c>
      <c r="E29" s="122">
        <v>2020</v>
      </c>
      <c r="F29" s="122">
        <v>2021</v>
      </c>
      <c r="G29" s="122">
        <v>2022</v>
      </c>
      <c r="H29" s="122">
        <v>2023</v>
      </c>
      <c r="I29" s="122">
        <v>2024</v>
      </c>
      <c r="J29" s="258">
        <v>2025</v>
      </c>
      <c r="K29" s="258">
        <v>2026</v>
      </c>
      <c r="L29" s="258">
        <v>2027</v>
      </c>
      <c r="M29" s="258">
        <v>2028</v>
      </c>
      <c r="N29" s="258">
        <v>2029</v>
      </c>
    </row>
    <row r="30" spans="1:14">
      <c r="B30" s="219" t="s">
        <v>366</v>
      </c>
      <c r="C30" s="34" t="s">
        <v>367</v>
      </c>
      <c r="D30" s="256">
        <f t="shared" ref="D30:I30" si="15">D8/D16</f>
        <v>12.054830287206265</v>
      </c>
      <c r="E30" s="256">
        <f t="shared" si="15"/>
        <v>12.054830287206267</v>
      </c>
      <c r="F30" s="256">
        <f t="shared" si="15"/>
        <v>12.054830287206267</v>
      </c>
      <c r="G30" s="256">
        <f t="shared" si="15"/>
        <v>12.054830287206265</v>
      </c>
      <c r="H30" s="256">
        <f t="shared" si="15"/>
        <v>12.054830287206267</v>
      </c>
      <c r="I30" s="256">
        <f t="shared" si="15"/>
        <v>12.054830287206268</v>
      </c>
      <c r="J30" s="256">
        <f>AVERAGE(F30:I30)</f>
        <v>12.054830287206265</v>
      </c>
      <c r="K30" s="256">
        <f>J30</f>
        <v>12.054830287206265</v>
      </c>
      <c r="L30" s="256">
        <f t="shared" ref="L30:N31" si="16">K30</f>
        <v>12.054830287206265</v>
      </c>
      <c r="M30" s="256">
        <f t="shared" si="16"/>
        <v>12.054830287206265</v>
      </c>
      <c r="N30" s="256">
        <f t="shared" si="16"/>
        <v>12.054830287206265</v>
      </c>
    </row>
    <row r="31" spans="1:14">
      <c r="B31" s="219" t="s">
        <v>368</v>
      </c>
      <c r="C31" s="34" t="s">
        <v>369</v>
      </c>
      <c r="D31" s="257">
        <f t="shared" ref="D31:I31" si="17">D11/D19</f>
        <v>12.054830287206267</v>
      </c>
      <c r="E31" s="257">
        <f t="shared" si="17"/>
        <v>12.054830287206267</v>
      </c>
      <c r="F31" s="257">
        <f t="shared" si="17"/>
        <v>12.054830287206265</v>
      </c>
      <c r="G31" s="257">
        <f t="shared" si="17"/>
        <v>12.054830287206267</v>
      </c>
      <c r="H31" s="257">
        <f t="shared" si="17"/>
        <v>12.054830287206267</v>
      </c>
      <c r="I31" s="257">
        <f t="shared" si="17"/>
        <v>12.054830287206268</v>
      </c>
      <c r="J31" s="257">
        <f>AVERAGE(F31:I31)</f>
        <v>12.054830287206265</v>
      </c>
      <c r="K31" s="257">
        <f>J31</f>
        <v>12.054830287206265</v>
      </c>
      <c r="L31" s="257">
        <f t="shared" si="16"/>
        <v>12.054830287206265</v>
      </c>
      <c r="M31" s="257">
        <f t="shared" si="16"/>
        <v>12.054830287206265</v>
      </c>
      <c r="N31" s="257">
        <f t="shared" si="16"/>
        <v>12.054830287206265</v>
      </c>
    </row>
    <row r="32" spans="1:14">
      <c r="B32" s="220"/>
      <c r="C32" s="119"/>
      <c r="D32" s="392"/>
      <c r="E32" s="392"/>
      <c r="F32" s="392"/>
      <c r="G32" s="392"/>
      <c r="H32" s="392"/>
      <c r="I32" s="392"/>
      <c r="J32" s="392"/>
      <c r="K32" s="392"/>
      <c r="L32" s="392"/>
      <c r="M32" s="392"/>
      <c r="N32" s="392"/>
    </row>
    <row r="33" spans="1:15">
      <c r="B33" s="123" t="s">
        <v>356</v>
      </c>
      <c r="C33" s="248"/>
      <c r="D33" s="618" t="s">
        <v>384</v>
      </c>
      <c r="E33" s="619"/>
      <c r="F33" s="619"/>
      <c r="G33" s="619"/>
      <c r="H33" s="619"/>
      <c r="I33" s="620"/>
      <c r="J33" s="621" t="s">
        <v>248</v>
      </c>
      <c r="K33" s="622"/>
      <c r="L33" s="622"/>
      <c r="M33" s="622"/>
      <c r="N33" s="623"/>
    </row>
    <row r="34" spans="1:15">
      <c r="B34" s="32" t="s">
        <v>139</v>
      </c>
      <c r="C34" s="32" t="s">
        <v>49</v>
      </c>
      <c r="D34" s="122">
        <v>2019</v>
      </c>
      <c r="E34" s="122">
        <v>2020</v>
      </c>
      <c r="F34" s="122">
        <v>2021</v>
      </c>
      <c r="G34" s="122">
        <v>2022</v>
      </c>
      <c r="H34" s="122">
        <v>2023</v>
      </c>
      <c r="I34" s="122">
        <v>2024</v>
      </c>
      <c r="J34" s="258">
        <v>2025</v>
      </c>
      <c r="K34" s="258">
        <v>2026</v>
      </c>
      <c r="L34" s="258">
        <v>2027</v>
      </c>
      <c r="M34" s="258">
        <v>2028</v>
      </c>
      <c r="N34" s="258">
        <v>2029</v>
      </c>
    </row>
    <row r="35" spans="1:15">
      <c r="B35" s="34" t="s">
        <v>641</v>
      </c>
      <c r="C35" s="34" t="s">
        <v>234</v>
      </c>
      <c r="D35" s="35">
        <f>'Economias, Ligações e Volumes'!D$68</f>
        <v>86348930</v>
      </c>
      <c r="E35" s="35">
        <f>'Economias, Ligações e Volumes'!E$68</f>
        <v>89285970.000000015</v>
      </c>
      <c r="F35" s="35">
        <f>'Economias, Ligações e Volumes'!F$68</f>
        <v>91193900</v>
      </c>
      <c r="G35" s="35">
        <f>'Economias, Ligações e Volumes'!G$68</f>
        <v>78096919.99999997</v>
      </c>
      <c r="H35" s="35">
        <f>'Economias, Ligações e Volumes'!H$68</f>
        <v>82349000</v>
      </c>
      <c r="I35" s="35">
        <f>'Economias, Ligações e Volumes'!I$68</f>
        <v>84819470</v>
      </c>
      <c r="J35" s="259">
        <f>J25*1.01</f>
        <v>90801080.259824708</v>
      </c>
      <c r="K35" s="259">
        <f t="shared" ref="K35:N35" si="18">K25*1.01</f>
        <v>92862264.78172271</v>
      </c>
      <c r="L35" s="259">
        <f t="shared" si="18"/>
        <v>94970238.19226782</v>
      </c>
      <c r="M35" s="259">
        <f t="shared" si="18"/>
        <v>97126062.599232301</v>
      </c>
      <c r="N35" s="259">
        <f t="shared" si="18"/>
        <v>99330824.220234856</v>
      </c>
    </row>
    <row r="36" spans="1:15">
      <c r="B36" s="34" t="s">
        <v>642</v>
      </c>
      <c r="C36" s="34" t="s">
        <v>234</v>
      </c>
      <c r="D36" s="35"/>
      <c r="E36" s="35"/>
      <c r="F36" s="35"/>
      <c r="G36" s="35"/>
      <c r="H36" s="35"/>
      <c r="I36" s="35"/>
      <c r="J36" s="35">
        <f>J35*0.48</f>
        <v>43584518.524715856</v>
      </c>
      <c r="K36" s="35">
        <f>K35*0.55</f>
        <v>51074245.629947491</v>
      </c>
      <c r="L36" s="35">
        <f>L35*0.6</f>
        <v>56982142.915360689</v>
      </c>
      <c r="M36" s="35">
        <f>M35*0.65</f>
        <v>63131940.689500995</v>
      </c>
      <c r="N36" s="35">
        <f>N35*0.7</f>
        <v>69531576.954164401</v>
      </c>
    </row>
    <row r="37" spans="1:15">
      <c r="B37" s="34" t="s">
        <v>381</v>
      </c>
      <c r="C37" s="34" t="s">
        <v>234</v>
      </c>
      <c r="D37" s="35"/>
      <c r="E37" s="35"/>
      <c r="F37" s="35"/>
      <c r="G37" s="35"/>
      <c r="H37" s="35"/>
      <c r="I37" s="35"/>
      <c r="J37" s="35">
        <f>J35+J36</f>
        <v>134385598.78454056</v>
      </c>
      <c r="K37" s="35">
        <f>K35+K36</f>
        <v>143936510.41167021</v>
      </c>
      <c r="L37" s="35">
        <f>K37*1.03</f>
        <v>148254605.72402033</v>
      </c>
      <c r="M37" s="35">
        <f t="shared" ref="M37:N37" si="19">L37*1.03</f>
        <v>152702243.89574096</v>
      </c>
      <c r="N37" s="35">
        <f t="shared" si="19"/>
        <v>157283311.2126132</v>
      </c>
    </row>
    <row r="38" spans="1:15">
      <c r="B38" s="220"/>
      <c r="C38" s="119"/>
      <c r="D38" s="249"/>
      <c r="E38" s="249"/>
      <c r="F38" s="249"/>
      <c r="G38" s="249"/>
      <c r="H38" s="249"/>
      <c r="I38" s="249"/>
      <c r="J38" s="249"/>
      <c r="K38" s="249"/>
      <c r="L38" s="249"/>
    </row>
    <row r="39" spans="1:15"/>
    <row r="40" spans="1:15">
      <c r="B40" s="32" t="s">
        <v>139</v>
      </c>
      <c r="C40" s="32"/>
      <c r="D40" s="122">
        <v>2019</v>
      </c>
      <c r="E40" s="122">
        <v>2020</v>
      </c>
      <c r="F40" s="122">
        <v>2021</v>
      </c>
      <c r="G40" s="122">
        <v>2022</v>
      </c>
      <c r="H40" s="122">
        <v>2023</v>
      </c>
      <c r="I40" s="122">
        <v>2024</v>
      </c>
    </row>
    <row r="41" spans="1:15">
      <c r="B41" s="34" t="s">
        <v>539</v>
      </c>
      <c r="C41" s="34" t="s">
        <v>123</v>
      </c>
      <c r="D41" s="34">
        <f>1-(D10/D35)</f>
        <v>0.28614831706658095</v>
      </c>
      <c r="E41" s="34">
        <f t="shared" ref="E41:I41" si="20">1-(E10/E35)</f>
        <v>0.30544620840205927</v>
      </c>
      <c r="F41" s="34">
        <f t="shared" si="20"/>
        <v>0.30195438510689865</v>
      </c>
      <c r="G41" s="34">
        <f t="shared" si="20"/>
        <v>0.18334306909926767</v>
      </c>
      <c r="H41" s="34">
        <f t="shared" si="20"/>
        <v>0.1003655174926229</v>
      </c>
      <c r="I41" s="34">
        <f t="shared" si="20"/>
        <v>7.6364153183225536E-2</v>
      </c>
      <c r="J41" s="34">
        <f>1-(J10/J35)</f>
        <v>0.11933169193878512</v>
      </c>
      <c r="K41" s="34">
        <f t="shared" ref="K41:N41" si="21">1-(K10/K35)</f>
        <v>0.11933169193878512</v>
      </c>
      <c r="L41" s="34">
        <f t="shared" si="21"/>
        <v>0.11933169193878512</v>
      </c>
      <c r="M41" s="34">
        <f t="shared" si="21"/>
        <v>0.11933169193878512</v>
      </c>
      <c r="N41" s="34">
        <f t="shared" si="21"/>
        <v>0.11933169193878512</v>
      </c>
    </row>
    <row r="42" spans="1:15">
      <c r="B42" s="220"/>
      <c r="C42" s="119"/>
      <c r="D42" s="249"/>
      <c r="E42" s="249"/>
      <c r="F42" s="249"/>
      <c r="G42" s="249"/>
      <c r="H42" s="249"/>
      <c r="I42" s="249"/>
      <c r="J42" s="249"/>
      <c r="K42" s="249"/>
      <c r="L42" s="249"/>
      <c r="M42" s="249"/>
      <c r="N42" s="249"/>
    </row>
    <row r="43" spans="1:15">
      <c r="A43" s="5"/>
      <c r="B43" s="139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220"/>
    </row>
    <row r="44" spans="1:15"/>
    <row r="45" spans="1:15"/>
    <row r="46" spans="1:15"/>
    <row r="47" spans="1:15"/>
    <row r="48" spans="1:15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103"/>
    <row r="104"/>
  </sheetData>
  <sheetProtection algorithmName="SHA-512" hashValue="rq4BMVdAlqDXMTg6a+AEhOGEZninPsrwwGm9Y9rLgAtdJJuq3BniuSCrpS3REW+PrurG1oSw+483KA5xJdWeMw==" saltValue="KePMXb1yvPJHEHOiiAieng==" spinCount="100000" sheet="1" objects="1" scenarios="1" selectLockedCells="1" selectUnlockedCells="1"/>
  <mergeCells count="10">
    <mergeCell ref="D33:I33"/>
    <mergeCell ref="J33:N33"/>
    <mergeCell ref="D22:I22"/>
    <mergeCell ref="J22:N22"/>
    <mergeCell ref="A1:B1"/>
    <mergeCell ref="K2:L2"/>
    <mergeCell ref="D6:I6"/>
    <mergeCell ref="J6:N6"/>
    <mergeCell ref="D14:I14"/>
    <mergeCell ref="J14:N14"/>
  </mergeCells>
  <conditionalFormatting sqref="B36:B39">
    <cfRule type="expression" dxfId="76" priority="18">
      <formula>B36&lt;0</formula>
    </cfRule>
  </conditionalFormatting>
  <conditionalFormatting sqref="B41:B42">
    <cfRule type="expression" dxfId="75" priority="25">
      <formula>B41&lt;0</formula>
    </cfRule>
  </conditionalFormatting>
  <conditionalFormatting sqref="B8:C12">
    <cfRule type="expression" dxfId="74" priority="138">
      <formula>B8&lt;0</formula>
    </cfRule>
  </conditionalFormatting>
  <conditionalFormatting sqref="B24:C32">
    <cfRule type="expression" dxfId="73" priority="121">
      <formula>B24&lt;0</formula>
    </cfRule>
  </conditionalFormatting>
  <conditionalFormatting sqref="B35:I35">
    <cfRule type="expression" dxfId="72" priority="13">
      <formula>B35&lt;0</formula>
    </cfRule>
  </conditionalFormatting>
  <conditionalFormatting sqref="B16:N20">
    <cfRule type="expression" dxfId="71" priority="1">
      <formula>B16&lt;0</formula>
    </cfRule>
  </conditionalFormatting>
  <conditionalFormatting sqref="B41:N41">
    <cfRule type="expression" dxfId="70" priority="26">
      <formula>B41&lt;0</formula>
    </cfRule>
  </conditionalFormatting>
  <conditionalFormatting sqref="C36:C42">
    <cfRule type="expression" dxfId="69" priority="20">
      <formula>C36&lt;0</formula>
    </cfRule>
  </conditionalFormatting>
  <conditionalFormatting sqref="C43:O43">
    <cfRule type="expression" dxfId="68" priority="132">
      <formula>C43&lt;0</formula>
    </cfRule>
  </conditionalFormatting>
  <conditionalFormatting sqref="D8:I10">
    <cfRule type="expression" dxfId="67" priority="156">
      <formula>D8&lt;0</formula>
    </cfRule>
  </conditionalFormatting>
  <conditionalFormatting sqref="D38:L39 C39:I39 J40:L40">
    <cfRule type="expression" dxfId="66" priority="319">
      <formula>C38&lt;0</formula>
    </cfRule>
  </conditionalFormatting>
  <conditionalFormatting sqref="D11:N12">
    <cfRule type="expression" dxfId="65" priority="5">
      <formula>D11&lt;0</formula>
    </cfRule>
  </conditionalFormatting>
  <conditionalFormatting sqref="D24:N28">
    <cfRule type="expression" dxfId="64" priority="140">
      <formula>D24&lt;0</formula>
    </cfRule>
  </conditionalFormatting>
  <conditionalFormatting sqref="D30:N32">
    <cfRule type="expression" dxfId="63" priority="123">
      <formula>D30&lt;0</formula>
    </cfRule>
  </conditionalFormatting>
  <conditionalFormatting sqref="D36:N37">
    <cfRule type="expression" dxfId="62" priority="24">
      <formula>D36&lt;0</formula>
    </cfRule>
  </conditionalFormatting>
  <conditionalFormatting sqref="D42:N42">
    <cfRule type="expression" dxfId="61" priority="143">
      <formula>D42&lt;0</formula>
    </cfRule>
  </conditionalFormatting>
  <conditionalFormatting sqref="I5:N5">
    <cfRule type="expression" dxfId="60" priority="146">
      <formula>I5&lt;0</formula>
    </cfRule>
  </conditionalFormatting>
  <conditionalFormatting sqref="J8:N11">
    <cfRule type="expression" dxfId="59" priority="6">
      <formula>J8&lt;0</formula>
    </cfRule>
  </conditionalFormatting>
  <conditionalFormatting sqref="J35:N36">
    <cfRule type="expression" dxfId="58" priority="10">
      <formula>J35&lt;0</formula>
    </cfRule>
  </conditionalFormatting>
  <conditionalFormatting sqref="K9:N9">
    <cfRule type="expression" dxfId="57" priority="159">
      <formula>K9&lt;0</formula>
    </cfRule>
  </conditionalFormatting>
  <conditionalFormatting sqref="K17:N17">
    <cfRule type="expression" dxfId="56" priority="147">
      <formula>K17&lt;0</formula>
    </cfRule>
  </conditionalFormatting>
  <conditionalFormatting sqref="K35:N35">
    <cfRule type="expression" dxfId="55" priority="19">
      <formula>K35&lt;0</formula>
    </cfRule>
  </conditionalFormatting>
  <conditionalFormatting sqref="N2">
    <cfRule type="expression" dxfId="54" priority="306">
      <formula>N2&lt;0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0">
    <tabColor theme="9" tint="-0.249977111117893"/>
  </sheetPr>
  <dimension ref="A1:AG367"/>
  <sheetViews>
    <sheetView showGridLines="0" zoomScale="80" zoomScaleNormal="80" workbookViewId="0">
      <selection activeCell="F7" sqref="F7"/>
    </sheetView>
  </sheetViews>
  <sheetFormatPr defaultColWidth="0" defaultRowHeight="15" zeroHeight="1"/>
  <cols>
    <col min="1" max="1" width="2.85546875" customWidth="1"/>
    <col min="2" max="2" width="5" bestFit="1" customWidth="1"/>
    <col min="3" max="4" width="7" customWidth="1"/>
    <col min="5" max="10" width="27.140625" customWidth="1"/>
    <col min="11" max="11" width="12.28515625" customWidth="1"/>
    <col min="12" max="12" width="10.7109375" customWidth="1"/>
    <col min="13" max="13" width="10.7109375" hidden="1" customWidth="1"/>
    <col min="14" max="14" width="11" hidden="1" customWidth="1"/>
    <col min="15" max="15" width="12.28515625" hidden="1" customWidth="1"/>
    <col min="16" max="16" width="14.42578125" hidden="1" customWidth="1"/>
    <col min="17" max="17" width="8.7109375" hidden="1" customWidth="1"/>
    <col min="18" max="18" width="12.5703125" style="28" hidden="1" customWidth="1"/>
    <col min="19" max="19" width="11.5703125" hidden="1" customWidth="1"/>
    <col min="20" max="33" width="10.7109375" hidden="1" customWidth="1"/>
    <col min="34" max="16384" width="8.7109375" hidden="1"/>
  </cols>
  <sheetData>
    <row r="1" spans="1:18">
      <c r="A1" s="601" t="s">
        <v>5</v>
      </c>
      <c r="B1" s="601"/>
      <c r="C1" s="264"/>
      <c r="D1" s="264"/>
      <c r="E1" s="264"/>
      <c r="F1" s="264"/>
      <c r="G1" s="264"/>
      <c r="H1" s="264"/>
    </row>
    <row r="2" spans="1:18">
      <c r="A2" s="4" t="s">
        <v>221</v>
      </c>
      <c r="B2" s="1"/>
      <c r="C2" s="1"/>
      <c r="D2" s="1"/>
      <c r="E2" s="1"/>
      <c r="F2" s="1"/>
      <c r="G2" s="1"/>
      <c r="H2" s="1"/>
    </row>
    <row r="3" spans="1:18">
      <c r="A3" s="5" t="s">
        <v>504</v>
      </c>
      <c r="B3" s="1"/>
      <c r="C3" s="1"/>
      <c r="D3" s="1"/>
      <c r="E3" s="1"/>
      <c r="F3" s="1"/>
      <c r="G3" s="1"/>
      <c r="H3" s="1"/>
      <c r="Q3" s="138"/>
      <c r="R3"/>
    </row>
    <row r="4" spans="1:18">
      <c r="A4" s="5"/>
      <c r="B4" s="1"/>
      <c r="C4" s="1"/>
      <c r="D4" s="1"/>
      <c r="E4" s="1"/>
      <c r="F4" s="1"/>
      <c r="G4" s="1"/>
      <c r="H4" s="1"/>
      <c r="Q4" s="138"/>
      <c r="R4"/>
    </row>
    <row r="5" spans="1:18">
      <c r="A5" s="5"/>
      <c r="B5" s="1"/>
      <c r="C5" s="1"/>
      <c r="D5" s="1"/>
      <c r="E5" s="158">
        <v>44105</v>
      </c>
      <c r="F5" s="1"/>
      <c r="G5" s="1"/>
      <c r="H5" s="1"/>
      <c r="J5" s="208"/>
      <c r="Q5" s="28"/>
      <c r="R5"/>
    </row>
    <row r="6" spans="1:18" ht="29.1" customHeight="1">
      <c r="B6" s="238" t="s">
        <v>35</v>
      </c>
      <c r="C6" s="238" t="s">
        <v>415</v>
      </c>
      <c r="D6" s="238" t="s">
        <v>222</v>
      </c>
      <c r="E6" s="238" t="s">
        <v>454</v>
      </c>
      <c r="F6" s="238" t="s">
        <v>416</v>
      </c>
      <c r="G6" s="238" t="s">
        <v>417</v>
      </c>
      <c r="H6" s="238" t="s">
        <v>455</v>
      </c>
      <c r="I6" s="238" t="s">
        <v>456</v>
      </c>
      <c r="J6" s="238" t="s">
        <v>223</v>
      </c>
    </row>
    <row r="7" spans="1:18">
      <c r="B7" s="161">
        <v>1</v>
      </c>
      <c r="C7" s="272">
        <v>44317</v>
      </c>
      <c r="D7" s="274">
        <f>YEAR(C7)</f>
        <v>2021</v>
      </c>
      <c r="E7" s="425">
        <v>2.2124600000000001</v>
      </c>
      <c r="F7" s="425">
        <v>13.84</v>
      </c>
      <c r="G7" s="423">
        <v>228948</v>
      </c>
      <c r="H7" s="35">
        <f>G7*F7</f>
        <v>3168640.32</v>
      </c>
      <c r="I7" s="35">
        <f>H7*E7</f>
        <v>7010489.9623871995</v>
      </c>
      <c r="J7" s="35">
        <f>I7*VLOOKUP(DATA_BASE,IPCA!$B$5:$C$382,2,FALSE)/VLOOKUP($E$5,IPCA!$B$5:$C$382,2,FALSE)</f>
        <v>9602050.9280503001</v>
      </c>
    </row>
    <row r="8" spans="1:18">
      <c r="B8" s="161">
        <v>2</v>
      </c>
      <c r="C8" s="272">
        <v>44348</v>
      </c>
      <c r="D8" s="274">
        <f t="shared" ref="D8:D65" si="0">YEAR(C8)</f>
        <v>2021</v>
      </c>
      <c r="E8" s="425">
        <v>2.2124600000000001</v>
      </c>
      <c r="F8" s="425">
        <v>13.84</v>
      </c>
      <c r="G8" s="423">
        <v>233771</v>
      </c>
      <c r="H8" s="35">
        <f t="shared" ref="H8:H65" si="1">G8*F8</f>
        <v>3235390.64</v>
      </c>
      <c r="I8" s="35">
        <f t="shared" ref="I8:I65" si="2">H8*E8</f>
        <v>7158172.375374401</v>
      </c>
      <c r="J8" s="35">
        <f>I8*VLOOKUP(DATA_BASE,IPCA!$B$5:$C$382,2,FALSE)/VLOOKUP($E$5,IPCA!$B$5:$C$382,2,FALSE)</f>
        <v>9804326.9541609734</v>
      </c>
    </row>
    <row r="9" spans="1:18">
      <c r="B9" s="161">
        <v>3</v>
      </c>
      <c r="C9" s="272">
        <v>44378</v>
      </c>
      <c r="D9" s="274">
        <f t="shared" si="0"/>
        <v>2021</v>
      </c>
      <c r="E9" s="425">
        <v>2.2124600000000001</v>
      </c>
      <c r="F9" s="425">
        <v>13.84</v>
      </c>
      <c r="G9" s="423">
        <v>238736</v>
      </c>
      <c r="H9" s="35">
        <f t="shared" si="1"/>
        <v>3304106.2399999998</v>
      </c>
      <c r="I9" s="35">
        <f t="shared" si="2"/>
        <v>7310202.8917504</v>
      </c>
      <c r="J9" s="35">
        <f>I9*VLOOKUP(DATA_BASE,IPCA!$B$5:$C$382,2,FALSE)/VLOOKUP($E$5,IPCA!$B$5:$C$382,2,FALSE)</f>
        <v>10012558.442786206</v>
      </c>
    </row>
    <row r="10" spans="1:18">
      <c r="B10" s="161">
        <v>4</v>
      </c>
      <c r="C10" s="272">
        <v>44409</v>
      </c>
      <c r="D10" s="274">
        <f t="shared" si="0"/>
        <v>2021</v>
      </c>
      <c r="E10" s="425">
        <v>2.2124600000000001</v>
      </c>
      <c r="F10" s="425">
        <v>13.84</v>
      </c>
      <c r="G10" s="423">
        <v>243848</v>
      </c>
      <c r="H10" s="35">
        <f t="shared" si="1"/>
        <v>3374856.32</v>
      </c>
      <c r="I10" s="35">
        <f t="shared" si="2"/>
        <v>7466734.6137472</v>
      </c>
      <c r="J10" s="35">
        <f>I10*VLOOKUP(DATA_BASE,IPCA!$B$5:$C$382,2,FALSE)/VLOOKUP($E$5,IPCA!$B$5:$C$382,2,FALSE)</f>
        <v>10226955.093310313</v>
      </c>
    </row>
    <row r="11" spans="1:18">
      <c r="B11" s="161">
        <v>5</v>
      </c>
      <c r="C11" s="272">
        <v>44440</v>
      </c>
      <c r="D11" s="274">
        <f t="shared" si="0"/>
        <v>2021</v>
      </c>
      <c r="E11" s="425">
        <v>2.2124600000000001</v>
      </c>
      <c r="F11" s="425">
        <v>13.84</v>
      </c>
      <c r="G11" s="423">
        <v>249112</v>
      </c>
      <c r="H11" s="35">
        <f t="shared" si="1"/>
        <v>3447710.08</v>
      </c>
      <c r="I11" s="35">
        <f t="shared" si="2"/>
        <v>7627920.6435968</v>
      </c>
      <c r="J11" s="35">
        <f>I11*VLOOKUP(DATA_BASE,IPCA!$B$5:$C$382,2,FALSE)/VLOOKUP($E$5,IPCA!$B$5:$C$382,2,FALSE)</f>
        <v>10447726.605117608</v>
      </c>
    </row>
    <row r="12" spans="1:18">
      <c r="B12" s="161">
        <v>6</v>
      </c>
      <c r="C12" s="272">
        <v>44470</v>
      </c>
      <c r="D12" s="274">
        <f t="shared" si="0"/>
        <v>2021</v>
      </c>
      <c r="E12" s="425">
        <v>2.2124600000000001</v>
      </c>
      <c r="F12" s="425">
        <v>13.84</v>
      </c>
      <c r="G12" s="423">
        <v>254536</v>
      </c>
      <c r="H12" s="35">
        <f t="shared" si="1"/>
        <v>3522778.2399999998</v>
      </c>
      <c r="I12" s="35">
        <f t="shared" si="2"/>
        <v>7794005.9448704002</v>
      </c>
      <c r="J12" s="35">
        <f>I12*VLOOKUP(DATA_BASE,IPCA!$B$5:$C$382,2,FALSE)/VLOOKUP($E$5,IPCA!$B$5:$C$382,2,FALSE)</f>
        <v>10675208.497222999</v>
      </c>
    </row>
    <row r="13" spans="1:18">
      <c r="B13" s="161">
        <v>7</v>
      </c>
      <c r="C13" s="272">
        <v>44501</v>
      </c>
      <c r="D13" s="274">
        <f t="shared" si="0"/>
        <v>2021</v>
      </c>
      <c r="E13" s="425">
        <v>2.2124600000000001</v>
      </c>
      <c r="F13" s="425">
        <v>13.84</v>
      </c>
      <c r="G13" s="423">
        <v>260126</v>
      </c>
      <c r="H13" s="35">
        <f t="shared" si="1"/>
        <v>3600143.84</v>
      </c>
      <c r="I13" s="35">
        <f t="shared" si="2"/>
        <v>7965174.2402464002</v>
      </c>
      <c r="J13" s="35">
        <f>I13*VLOOKUP(DATA_BASE,IPCA!$B$5:$C$382,2,FALSE)/VLOOKUP($E$5,IPCA!$B$5:$C$382,2,FALSE)</f>
        <v>10909652.408887662</v>
      </c>
    </row>
    <row r="14" spans="1:18">
      <c r="B14" s="161">
        <v>8</v>
      </c>
      <c r="C14" s="272">
        <v>44531</v>
      </c>
      <c r="D14" s="274">
        <f t="shared" si="0"/>
        <v>2021</v>
      </c>
      <c r="E14" s="425">
        <v>2.2124600000000001</v>
      </c>
      <c r="F14" s="425">
        <v>13.84</v>
      </c>
      <c r="G14" s="423">
        <v>265894</v>
      </c>
      <c r="H14" s="35">
        <f t="shared" si="1"/>
        <v>3679972.96</v>
      </c>
      <c r="I14" s="35">
        <f t="shared" si="2"/>
        <v>8141792.9750816002</v>
      </c>
      <c r="J14" s="35">
        <f>I14*VLOOKUP(DATA_BASE,IPCA!$B$5:$C$382,2,FALSE)/VLOOKUP($E$5,IPCA!$B$5:$C$382,2,FALSE)</f>
        <v>11151561.618633954</v>
      </c>
    </row>
    <row r="15" spans="1:18">
      <c r="B15" s="161">
        <v>9</v>
      </c>
      <c r="C15" s="272">
        <v>44562</v>
      </c>
      <c r="D15" s="274">
        <f t="shared" si="0"/>
        <v>2022</v>
      </c>
      <c r="E15" s="425">
        <v>2.2124600000000001</v>
      </c>
      <c r="F15" s="425">
        <v>13.84</v>
      </c>
      <c r="G15" s="423">
        <v>271846</v>
      </c>
      <c r="H15" s="35">
        <f t="shared" si="1"/>
        <v>3762348.64</v>
      </c>
      <c r="I15" s="35">
        <f t="shared" si="2"/>
        <v>8324045.8720544009</v>
      </c>
      <c r="J15" s="35">
        <f>I15*VLOOKUP(DATA_BASE,IPCA!$B$5:$C$382,2,FALSE)/VLOOKUP($E$5,IPCA!$B$5:$C$382,2,FALSE)</f>
        <v>11401187.765723055</v>
      </c>
    </row>
    <row r="16" spans="1:18">
      <c r="B16" s="161">
        <v>10</v>
      </c>
      <c r="C16" s="272">
        <v>44593</v>
      </c>
      <c r="D16" s="274">
        <f t="shared" si="0"/>
        <v>2022</v>
      </c>
      <c r="E16" s="425">
        <v>2.2124600000000001</v>
      </c>
      <c r="F16" s="425">
        <v>13.84</v>
      </c>
      <c r="G16" s="423">
        <v>277993</v>
      </c>
      <c r="H16" s="35">
        <f t="shared" si="1"/>
        <v>3847423.12</v>
      </c>
      <c r="I16" s="35">
        <f t="shared" si="2"/>
        <v>8512269.7560751997</v>
      </c>
      <c r="J16" s="35">
        <f>I16*VLOOKUP(DATA_BASE,IPCA!$B$5:$C$382,2,FALSE)/VLOOKUP($E$5,IPCA!$B$5:$C$382,2,FALSE)</f>
        <v>11658992.188800456</v>
      </c>
    </row>
    <row r="17" spans="2:10">
      <c r="B17" s="161">
        <v>11</v>
      </c>
      <c r="C17" s="272">
        <v>44621</v>
      </c>
      <c r="D17" s="274">
        <f t="shared" si="0"/>
        <v>2022</v>
      </c>
      <c r="E17" s="425">
        <v>2.2124600000000001</v>
      </c>
      <c r="F17" s="425">
        <v>13.84</v>
      </c>
      <c r="G17" s="423">
        <v>284345</v>
      </c>
      <c r="H17" s="35">
        <f t="shared" si="1"/>
        <v>3935334.8</v>
      </c>
      <c r="I17" s="35">
        <f t="shared" si="2"/>
        <v>8706770.8316079993</v>
      </c>
      <c r="J17" s="35">
        <f>I17*VLOOKUP(DATA_BASE,IPCA!$B$5:$C$382,2,FALSE)/VLOOKUP($E$5,IPCA!$B$5:$C$382,2,FALSE)</f>
        <v>11925394.28663479</v>
      </c>
    </row>
    <row r="18" spans="2:10">
      <c r="B18" s="161">
        <v>12</v>
      </c>
      <c r="C18" s="272">
        <v>44652</v>
      </c>
      <c r="D18" s="274">
        <f t="shared" si="0"/>
        <v>2022</v>
      </c>
      <c r="E18" s="425">
        <v>2.2124600000000001</v>
      </c>
      <c r="F18" s="425">
        <v>13.84</v>
      </c>
      <c r="G18" s="423">
        <v>290907</v>
      </c>
      <c r="H18" s="35">
        <f t="shared" si="1"/>
        <v>4026152.88</v>
      </c>
      <c r="I18" s="35">
        <f t="shared" si="2"/>
        <v>8907702.2008848004</v>
      </c>
      <c r="J18" s="35">
        <f>I18*VLOOKUP(DATA_BASE,IPCA!$B$5:$C$382,2,FALSE)/VLOOKUP($E$5,IPCA!$B$5:$C$382,2,FALSE)</f>
        <v>12200603.758610377</v>
      </c>
    </row>
    <row r="19" spans="2:10">
      <c r="B19" s="161">
        <v>13</v>
      </c>
      <c r="C19" s="272">
        <v>44682</v>
      </c>
      <c r="D19" s="274">
        <f t="shared" si="0"/>
        <v>2022</v>
      </c>
      <c r="E19" s="425">
        <v>2.2124600000000001</v>
      </c>
      <c r="F19" s="425">
        <v>13.84</v>
      </c>
      <c r="G19" s="423">
        <v>303031</v>
      </c>
      <c r="H19" s="35">
        <f t="shared" si="1"/>
        <v>4193949.04</v>
      </c>
      <c r="I19" s="35">
        <f t="shared" si="2"/>
        <v>9278944.493038401</v>
      </c>
      <c r="J19" s="35">
        <f>I19*VLOOKUP(DATA_BASE,IPCA!$B$5:$C$382,2,FALSE)/VLOOKUP($E$5,IPCA!$B$5:$C$382,2,FALSE)</f>
        <v>12709082.825698458</v>
      </c>
    </row>
    <row r="20" spans="2:10">
      <c r="B20" s="161">
        <v>14</v>
      </c>
      <c r="C20" s="272">
        <v>44713</v>
      </c>
      <c r="D20" s="274">
        <f t="shared" si="0"/>
        <v>2022</v>
      </c>
      <c r="E20" s="425">
        <v>2.2124600000000001</v>
      </c>
      <c r="F20" s="425">
        <v>13.84</v>
      </c>
      <c r="G20" s="423">
        <v>307338</v>
      </c>
      <c r="H20" s="35">
        <f t="shared" si="1"/>
        <v>4253557.92</v>
      </c>
      <c r="I20" s="35">
        <f t="shared" si="2"/>
        <v>9410826.7556832004</v>
      </c>
      <c r="J20" s="35">
        <f>I20*VLOOKUP(DATA_BASE,IPCA!$B$5:$C$382,2,FALSE)/VLOOKUP($E$5,IPCA!$B$5:$C$382,2,FALSE)</f>
        <v>12889717.875347778</v>
      </c>
    </row>
    <row r="21" spans="2:10">
      <c r="B21" s="161">
        <v>15</v>
      </c>
      <c r="C21" s="272">
        <v>44743</v>
      </c>
      <c r="D21" s="274">
        <f t="shared" si="0"/>
        <v>2022</v>
      </c>
      <c r="E21" s="425">
        <v>2.2124600000000001</v>
      </c>
      <c r="F21" s="425">
        <v>13.84</v>
      </c>
      <c r="G21" s="423">
        <v>311815</v>
      </c>
      <c r="H21" s="35">
        <f t="shared" si="1"/>
        <v>4315519.5999999996</v>
      </c>
      <c r="I21" s="35">
        <f t="shared" si="2"/>
        <v>9547914.4942159988</v>
      </c>
      <c r="J21" s="35">
        <f>I21*VLOOKUP(DATA_BASE,IPCA!$B$5:$C$382,2,FALSE)/VLOOKUP($E$5,IPCA!$B$5:$C$382,2,FALSE)</f>
        <v>13077482.704063822</v>
      </c>
    </row>
    <row r="22" spans="2:10">
      <c r="B22" s="161">
        <v>16</v>
      </c>
      <c r="C22" s="272">
        <v>44774</v>
      </c>
      <c r="D22" s="274">
        <f t="shared" si="0"/>
        <v>2022</v>
      </c>
      <c r="E22" s="425">
        <v>2.2124600000000001</v>
      </c>
      <c r="F22" s="425">
        <v>13.84</v>
      </c>
      <c r="G22" s="423">
        <v>316482</v>
      </c>
      <c r="H22" s="35">
        <f t="shared" si="1"/>
        <v>4380110.88</v>
      </c>
      <c r="I22" s="35">
        <f t="shared" si="2"/>
        <v>9690820.1175647993</v>
      </c>
      <c r="J22" s="35">
        <f>I22*VLOOKUP(DATA_BASE,IPCA!$B$5:$C$382,2,FALSE)/VLOOKUP($E$5,IPCA!$B$5:$C$382,2,FALSE)</f>
        <v>13273216.109383855</v>
      </c>
    </row>
    <row r="23" spans="2:10">
      <c r="B23" s="161">
        <v>17</v>
      </c>
      <c r="C23" s="272">
        <v>44805</v>
      </c>
      <c r="D23" s="274">
        <f t="shared" si="0"/>
        <v>2022</v>
      </c>
      <c r="E23" s="425">
        <v>2.2124600000000001</v>
      </c>
      <c r="F23" s="425">
        <v>13.84</v>
      </c>
      <c r="G23" s="423">
        <v>321340</v>
      </c>
      <c r="H23" s="35">
        <f t="shared" si="1"/>
        <v>4447345.5999999996</v>
      </c>
      <c r="I23" s="35">
        <f t="shared" si="2"/>
        <v>9839574.2461759988</v>
      </c>
      <c r="J23" s="35">
        <f>I23*VLOOKUP(DATA_BASE,IPCA!$B$5:$C$382,2,FALSE)/VLOOKUP($E$5,IPCA!$B$5:$C$382,2,FALSE)</f>
        <v>13476960.031184735</v>
      </c>
    </row>
    <row r="24" spans="2:10">
      <c r="B24" s="161">
        <v>18</v>
      </c>
      <c r="C24" s="272">
        <v>44835</v>
      </c>
      <c r="D24" s="274">
        <f t="shared" si="0"/>
        <v>2022</v>
      </c>
      <c r="E24" s="425">
        <v>2.2124600000000001</v>
      </c>
      <c r="F24" s="425">
        <v>13.84</v>
      </c>
      <c r="G24" s="423">
        <v>326417</v>
      </c>
      <c r="H24" s="35">
        <f t="shared" si="1"/>
        <v>4517611.28</v>
      </c>
      <c r="I24" s="35">
        <f t="shared" si="2"/>
        <v>9995034.2525488008</v>
      </c>
      <c r="J24" s="35">
        <f>I24*VLOOKUP(DATA_BASE,IPCA!$B$5:$C$382,2,FALSE)/VLOOKUP($E$5,IPCA!$B$5:$C$382,2,FALSE)</f>
        <v>13689888.786018636</v>
      </c>
    </row>
    <row r="25" spans="2:10">
      <c r="B25" s="161">
        <v>19</v>
      </c>
      <c r="C25" s="272">
        <v>44866</v>
      </c>
      <c r="D25" s="274">
        <f t="shared" si="0"/>
        <v>2022</v>
      </c>
      <c r="E25" s="425">
        <v>2.2124600000000001</v>
      </c>
      <c r="F25" s="425">
        <v>13.84</v>
      </c>
      <c r="G25" s="423">
        <v>331727</v>
      </c>
      <c r="H25" s="35">
        <f t="shared" si="1"/>
        <v>4591101.68</v>
      </c>
      <c r="I25" s="35">
        <f t="shared" si="2"/>
        <v>10157628.8229328</v>
      </c>
      <c r="J25" s="35">
        <f>I25*VLOOKUP(DATA_BASE,IPCA!$B$5:$C$382,2,FALSE)/VLOOKUP($E$5,IPCA!$B$5:$C$382,2,FALSE)</f>
        <v>13912589.532161634</v>
      </c>
    </row>
    <row r="26" spans="2:10">
      <c r="B26" s="161">
        <v>20</v>
      </c>
      <c r="C26" s="272">
        <v>44896</v>
      </c>
      <c r="D26" s="274">
        <f t="shared" si="0"/>
        <v>2022</v>
      </c>
      <c r="E26" s="425">
        <v>2.2124600000000001</v>
      </c>
      <c r="F26" s="425">
        <v>13.84</v>
      </c>
      <c r="G26" s="423">
        <v>337288</v>
      </c>
      <c r="H26" s="35">
        <f t="shared" si="1"/>
        <v>4668065.92</v>
      </c>
      <c r="I26" s="35">
        <f t="shared" si="2"/>
        <v>10327909.125363201</v>
      </c>
      <c r="J26" s="35">
        <f>I26*VLOOKUP(DATA_BASE,IPCA!$B$5:$C$382,2,FALSE)/VLOOKUP($E$5,IPCA!$B$5:$C$382,2,FALSE)</f>
        <v>14145817.187397268</v>
      </c>
    </row>
    <row r="27" spans="2:10">
      <c r="B27" s="161">
        <v>21</v>
      </c>
      <c r="C27" s="272">
        <v>44927</v>
      </c>
      <c r="D27" s="274">
        <f t="shared" si="0"/>
        <v>2023</v>
      </c>
      <c r="E27" s="425">
        <v>2.2124600000000001</v>
      </c>
      <c r="F27" s="425">
        <v>13.84</v>
      </c>
      <c r="G27" s="423">
        <v>343130</v>
      </c>
      <c r="H27" s="35">
        <f t="shared" si="1"/>
        <v>4748919.2</v>
      </c>
      <c r="I27" s="35">
        <f t="shared" si="2"/>
        <v>10506793.773232</v>
      </c>
      <c r="J27" s="35">
        <f>I27*VLOOKUP(DATA_BASE,IPCA!$B$5:$C$382,2,FALSE)/VLOOKUP($E$5,IPCA!$B$5:$C$382,2,FALSE)</f>
        <v>14390829.948031427</v>
      </c>
    </row>
    <row r="28" spans="2:10">
      <c r="B28" s="161">
        <v>22</v>
      </c>
      <c r="C28" s="272">
        <v>44958</v>
      </c>
      <c r="D28" s="274">
        <f t="shared" si="0"/>
        <v>2023</v>
      </c>
      <c r="E28" s="425">
        <v>2.2124600000000001</v>
      </c>
      <c r="F28" s="425">
        <v>13.84</v>
      </c>
      <c r="G28" s="423">
        <v>349271</v>
      </c>
      <c r="H28" s="35">
        <f t="shared" si="1"/>
        <v>4833910.6399999997</v>
      </c>
      <c r="I28" s="35">
        <f t="shared" si="2"/>
        <v>10694833.934574399</v>
      </c>
      <c r="J28" s="35">
        <f>I28*VLOOKUP(DATA_BASE,IPCA!$B$5:$C$382,2,FALSE)/VLOOKUP($E$5,IPCA!$B$5:$C$382,2,FALSE)</f>
        <v>14648382.731847651</v>
      </c>
    </row>
    <row r="29" spans="2:10">
      <c r="B29" s="161">
        <v>23</v>
      </c>
      <c r="C29" s="272">
        <v>44986</v>
      </c>
      <c r="D29" s="274">
        <f t="shared" si="0"/>
        <v>2023</v>
      </c>
      <c r="E29" s="425">
        <v>2.2124600000000001</v>
      </c>
      <c r="F29" s="425">
        <v>13.84</v>
      </c>
      <c r="G29" s="423">
        <v>355743</v>
      </c>
      <c r="H29" s="35">
        <f t="shared" si="1"/>
        <v>4923483.12</v>
      </c>
      <c r="I29" s="35">
        <f t="shared" si="2"/>
        <v>10893009.463675201</v>
      </c>
      <c r="J29" s="35">
        <f>I29*VLOOKUP(DATA_BASE,IPCA!$B$5:$C$382,2,FALSE)/VLOOKUP($E$5,IPCA!$B$5:$C$382,2,FALSE)</f>
        <v>14919817.614905559</v>
      </c>
    </row>
    <row r="30" spans="2:10">
      <c r="B30" s="161">
        <v>24</v>
      </c>
      <c r="C30" s="272">
        <v>45017</v>
      </c>
      <c r="D30" s="274">
        <f t="shared" si="0"/>
        <v>2023</v>
      </c>
      <c r="E30" s="425">
        <v>2.2124600000000001</v>
      </c>
      <c r="F30" s="425">
        <v>13.84</v>
      </c>
      <c r="G30" s="423">
        <v>362578</v>
      </c>
      <c r="H30" s="35">
        <f t="shared" si="1"/>
        <v>5018079.5199999996</v>
      </c>
      <c r="I30" s="35">
        <f t="shared" si="2"/>
        <v>11102300.2148192</v>
      </c>
      <c r="J30" s="35">
        <f>I30*VLOOKUP(DATA_BASE,IPCA!$B$5:$C$382,2,FALSE)/VLOOKUP($E$5,IPCA!$B$5:$C$382,2,FALSE)</f>
        <v>15206476.673264764</v>
      </c>
    </row>
    <row r="31" spans="2:10">
      <c r="B31" s="161">
        <v>25</v>
      </c>
      <c r="C31" s="272">
        <v>45047</v>
      </c>
      <c r="D31" s="274">
        <f t="shared" si="0"/>
        <v>2023</v>
      </c>
      <c r="E31" s="425">
        <v>2.2124600000000001</v>
      </c>
      <c r="F31" s="425">
        <v>13.84</v>
      </c>
      <c r="G31" s="423">
        <v>370563</v>
      </c>
      <c r="H31" s="35">
        <f t="shared" si="1"/>
        <v>5128591.92</v>
      </c>
      <c r="I31" s="35">
        <f t="shared" si="2"/>
        <v>11346804.479323201</v>
      </c>
      <c r="J31" s="35">
        <f>I31*VLOOKUP(DATA_BASE,IPCA!$B$5:$C$382,2,FALSE)/VLOOKUP($E$5,IPCA!$B$5:$C$382,2,FALSE)</f>
        <v>15541366.590016523</v>
      </c>
    </row>
    <row r="32" spans="2:10">
      <c r="B32" s="161">
        <v>26</v>
      </c>
      <c r="C32" s="272">
        <v>45078</v>
      </c>
      <c r="D32" s="274">
        <f t="shared" si="0"/>
        <v>2023</v>
      </c>
      <c r="E32" s="425">
        <v>2.2124600000000001</v>
      </c>
      <c r="F32" s="425">
        <v>13.84</v>
      </c>
      <c r="G32" s="423">
        <v>373553</v>
      </c>
      <c r="H32" s="35">
        <f t="shared" si="1"/>
        <v>5169973.5199999996</v>
      </c>
      <c r="I32" s="35">
        <f t="shared" si="2"/>
        <v>11438359.614059199</v>
      </c>
      <c r="J32" s="35">
        <f>I32*VLOOKUP(DATA_BASE,IPCA!$B$5:$C$382,2,FALSE)/VLOOKUP($E$5,IPCA!$B$5:$C$382,2,FALSE)</f>
        <v>15666766.821837155</v>
      </c>
    </row>
    <row r="33" spans="2:10">
      <c r="B33" s="161">
        <v>27</v>
      </c>
      <c r="C33" s="272">
        <v>45108</v>
      </c>
      <c r="D33" s="274">
        <f t="shared" si="0"/>
        <v>2023</v>
      </c>
      <c r="E33" s="425">
        <v>2.2124600000000001</v>
      </c>
      <c r="F33" s="425">
        <v>13.84</v>
      </c>
      <c r="G33" s="423">
        <v>376620</v>
      </c>
      <c r="H33" s="35">
        <f t="shared" si="1"/>
        <v>5212420.8</v>
      </c>
      <c r="I33" s="35">
        <f t="shared" si="2"/>
        <v>11532272.523167999</v>
      </c>
      <c r="J33" s="35">
        <f>I33*VLOOKUP(DATA_BASE,IPCA!$B$5:$C$382,2,FALSE)/VLOOKUP($E$5,IPCA!$B$5:$C$382,2,FALSE)</f>
        <v>15795396.424176248</v>
      </c>
    </row>
    <row r="34" spans="2:10">
      <c r="B34" s="161">
        <v>28</v>
      </c>
      <c r="C34" s="272">
        <v>45139</v>
      </c>
      <c r="D34" s="274">
        <f t="shared" si="0"/>
        <v>2023</v>
      </c>
      <c r="E34" s="425">
        <v>2.2124600000000001</v>
      </c>
      <c r="F34" s="425">
        <v>13.84</v>
      </c>
      <c r="G34" s="423">
        <v>379777</v>
      </c>
      <c r="H34" s="35">
        <f t="shared" si="1"/>
        <v>5256113.68</v>
      </c>
      <c r="I34" s="35">
        <f t="shared" si="2"/>
        <v>11628941.2724528</v>
      </c>
      <c r="J34" s="35">
        <f>I34*VLOOKUP(DATA_BASE,IPCA!$B$5:$C$382,2,FALSE)/VLOOKUP($E$5,IPCA!$B$5:$C$382,2,FALSE)</f>
        <v>15927800.615433017</v>
      </c>
    </row>
    <row r="35" spans="2:10">
      <c r="B35" s="161">
        <v>29</v>
      </c>
      <c r="C35" s="272">
        <v>45170</v>
      </c>
      <c r="D35" s="274">
        <f t="shared" si="0"/>
        <v>2023</v>
      </c>
      <c r="E35" s="425">
        <v>2.2124600000000001</v>
      </c>
      <c r="F35" s="425">
        <v>13.84</v>
      </c>
      <c r="G35" s="423">
        <v>383022</v>
      </c>
      <c r="H35" s="35">
        <f t="shared" si="1"/>
        <v>5301024.4799999995</v>
      </c>
      <c r="I35" s="35">
        <f t="shared" si="2"/>
        <v>11728304.6210208</v>
      </c>
      <c r="J35" s="35">
        <f>I35*VLOOKUP(DATA_BASE,IPCA!$B$5:$C$382,2,FALSE)/VLOOKUP($E$5,IPCA!$B$5:$C$382,2,FALSE)</f>
        <v>16063895.515853738</v>
      </c>
    </row>
    <row r="36" spans="2:10">
      <c r="B36" s="161">
        <v>30</v>
      </c>
      <c r="C36" s="272">
        <v>45200</v>
      </c>
      <c r="D36" s="274">
        <f t="shared" si="0"/>
        <v>2023</v>
      </c>
      <c r="E36" s="425">
        <v>2.2124600000000001</v>
      </c>
      <c r="F36" s="425">
        <v>13.84</v>
      </c>
      <c r="G36" s="423">
        <v>386360</v>
      </c>
      <c r="H36" s="35">
        <f t="shared" si="1"/>
        <v>5347222.4000000004</v>
      </c>
      <c r="I36" s="35">
        <f t="shared" si="2"/>
        <v>11830515.671104001</v>
      </c>
      <c r="J36" s="35">
        <f>I36*VLOOKUP(DATA_BASE,IPCA!$B$5:$C$382,2,FALSE)/VLOOKUP($E$5,IPCA!$B$5:$C$382,2,FALSE)</f>
        <v>16203890.824822728</v>
      </c>
    </row>
    <row r="37" spans="2:10">
      <c r="B37" s="161">
        <v>31</v>
      </c>
      <c r="C37" s="272">
        <v>45231</v>
      </c>
      <c r="D37" s="274">
        <f t="shared" si="0"/>
        <v>2023</v>
      </c>
      <c r="E37" s="425">
        <v>2.2124600000000001</v>
      </c>
      <c r="F37" s="425">
        <v>13.84</v>
      </c>
      <c r="G37" s="423">
        <v>389790</v>
      </c>
      <c r="H37" s="35">
        <f t="shared" si="1"/>
        <v>5394693.5999999996</v>
      </c>
      <c r="I37" s="35">
        <f t="shared" si="2"/>
        <v>11935543.802255999</v>
      </c>
      <c r="J37" s="35">
        <f>I37*VLOOKUP(DATA_BASE,IPCA!$B$5:$C$382,2,FALSE)/VLOOKUP($E$5,IPCA!$B$5:$C$382,2,FALSE)</f>
        <v>16347744.602463119</v>
      </c>
    </row>
    <row r="38" spans="2:10">
      <c r="B38" s="161">
        <v>32</v>
      </c>
      <c r="C38" s="272">
        <v>45261</v>
      </c>
      <c r="D38" s="274">
        <f t="shared" si="0"/>
        <v>2023</v>
      </c>
      <c r="E38" s="425">
        <v>2.2124600000000001</v>
      </c>
      <c r="F38" s="425">
        <v>13.84</v>
      </c>
      <c r="G38" s="423">
        <v>393321</v>
      </c>
      <c r="H38" s="35">
        <f t="shared" si="1"/>
        <v>5443562.6399999997</v>
      </c>
      <c r="I38" s="35">
        <f t="shared" si="2"/>
        <v>12043664.598494399</v>
      </c>
      <c r="J38" s="35">
        <f>I38*VLOOKUP(DATA_BASE,IPCA!$B$5:$C$382,2,FALSE)/VLOOKUP($E$5,IPCA!$B$5:$C$382,2,FALSE)</f>
        <v>16495834.307666684</v>
      </c>
    </row>
    <row r="39" spans="2:10">
      <c r="B39" s="161">
        <v>33</v>
      </c>
      <c r="C39" s="272">
        <v>45292</v>
      </c>
      <c r="D39" s="274">
        <f t="shared" si="0"/>
        <v>2024</v>
      </c>
      <c r="E39" s="425">
        <v>2.2124600000000001</v>
      </c>
      <c r="F39" s="425">
        <v>13.84</v>
      </c>
      <c r="G39" s="423">
        <v>396951</v>
      </c>
      <c r="H39" s="35">
        <f t="shared" si="1"/>
        <v>5493801.8399999999</v>
      </c>
      <c r="I39" s="35">
        <f t="shared" si="2"/>
        <v>12154816.8189264</v>
      </c>
      <c r="J39" s="35">
        <f>I39*VLOOKUP(DATA_BASE,IPCA!$B$5:$C$382,2,FALSE)/VLOOKUP($E$5,IPCA!$B$5:$C$382,2,FALSE)</f>
        <v>16648076.060679695</v>
      </c>
    </row>
    <row r="40" spans="2:10">
      <c r="B40" s="161">
        <v>34</v>
      </c>
      <c r="C40" s="272">
        <v>45323</v>
      </c>
      <c r="D40" s="274">
        <f t="shared" si="0"/>
        <v>2024</v>
      </c>
      <c r="E40" s="425">
        <v>2.2124600000000001</v>
      </c>
      <c r="F40" s="425">
        <v>13.84</v>
      </c>
      <c r="G40" s="423">
        <v>400688</v>
      </c>
      <c r="H40" s="35">
        <f t="shared" si="1"/>
        <v>5545521.9199999999</v>
      </c>
      <c r="I40" s="35">
        <f t="shared" si="2"/>
        <v>12269245.4271232</v>
      </c>
      <c r="J40" s="35">
        <f>I40*VLOOKUP(DATA_BASE,IPCA!$B$5:$C$382,2,FALSE)/VLOOKUP($E$5,IPCA!$B$5:$C$382,2,FALSE)</f>
        <v>16804805.380517054</v>
      </c>
    </row>
    <row r="41" spans="2:10">
      <c r="B41" s="161">
        <v>35</v>
      </c>
      <c r="C41" s="272">
        <v>45352</v>
      </c>
      <c r="D41" s="274">
        <f t="shared" si="0"/>
        <v>2024</v>
      </c>
      <c r="E41" s="425">
        <v>2.2124600000000001</v>
      </c>
      <c r="F41" s="425">
        <v>13.84</v>
      </c>
      <c r="G41" s="423">
        <v>404536</v>
      </c>
      <c r="H41" s="35">
        <f t="shared" si="1"/>
        <v>5598778.2400000002</v>
      </c>
      <c r="I41" s="35">
        <f t="shared" si="2"/>
        <v>12387072.9048704</v>
      </c>
      <c r="J41" s="35">
        <f>I41*VLOOKUP(DATA_BASE,IPCA!$B$5:$C$382,2,FALSE)/VLOOKUP($E$5,IPCA!$B$5:$C$382,2,FALSE)</f>
        <v>16966190.026686218</v>
      </c>
    </row>
    <row r="42" spans="2:10">
      <c r="B42" s="161">
        <v>36</v>
      </c>
      <c r="C42" s="272">
        <v>45383</v>
      </c>
      <c r="D42" s="274">
        <f t="shared" si="0"/>
        <v>2024</v>
      </c>
      <c r="E42" s="425">
        <v>2.2124600000000001</v>
      </c>
      <c r="F42" s="425">
        <v>13.84</v>
      </c>
      <c r="G42" s="423">
        <v>408498</v>
      </c>
      <c r="H42" s="35">
        <f t="shared" si="1"/>
        <v>5653612.3200000003</v>
      </c>
      <c r="I42" s="35">
        <f t="shared" si="2"/>
        <v>12508391.113507202</v>
      </c>
      <c r="J42" s="35">
        <f>I42*VLOOKUP(DATA_BASE,IPCA!$B$5:$C$382,2,FALSE)/VLOOKUP($E$5,IPCA!$B$5:$C$382,2,FALSE)</f>
        <v>17132355.818817772</v>
      </c>
    </row>
    <row r="43" spans="2:10">
      <c r="B43" s="161">
        <v>37</v>
      </c>
      <c r="C43" s="272">
        <v>45413</v>
      </c>
      <c r="D43" s="274">
        <f t="shared" si="0"/>
        <v>2024</v>
      </c>
      <c r="E43" s="425">
        <v>2.2124600000000001</v>
      </c>
      <c r="F43" s="425">
        <v>13.84</v>
      </c>
      <c r="G43" s="423">
        <v>412556</v>
      </c>
      <c r="H43" s="35">
        <f t="shared" si="1"/>
        <v>5709775.04</v>
      </c>
      <c r="I43" s="35">
        <f t="shared" si="2"/>
        <v>12632648.8849984</v>
      </c>
      <c r="J43" s="35">
        <f>I43*VLOOKUP(DATA_BASE,IPCA!$B$5:$C$382,2,FALSE)/VLOOKUP($E$5,IPCA!$B$5:$C$382,2,FALSE)</f>
        <v>17302547.839128185</v>
      </c>
    </row>
    <row r="44" spans="2:10">
      <c r="B44" s="161">
        <v>38</v>
      </c>
      <c r="C44" s="272">
        <v>45444</v>
      </c>
      <c r="D44" s="274">
        <f t="shared" si="0"/>
        <v>2024</v>
      </c>
      <c r="E44" s="425">
        <v>2.2124600000000001</v>
      </c>
      <c r="F44" s="425">
        <v>13.84</v>
      </c>
      <c r="G44" s="423">
        <v>414890</v>
      </c>
      <c r="H44" s="35">
        <f t="shared" si="1"/>
        <v>5742077.5999999996</v>
      </c>
      <c r="I44" s="35">
        <f t="shared" si="2"/>
        <v>12704117.006896</v>
      </c>
      <c r="J44" s="35">
        <f>I44*VLOOKUP(DATA_BASE,IPCA!$B$5:$C$382,2,FALSE)/VLOOKUP($E$5,IPCA!$B$5:$C$382,2,FALSE)</f>
        <v>17400435.511726629</v>
      </c>
    </row>
    <row r="45" spans="2:10">
      <c r="B45" s="161">
        <v>39</v>
      </c>
      <c r="C45" s="272">
        <v>45474</v>
      </c>
      <c r="D45" s="274">
        <f t="shared" si="0"/>
        <v>2024</v>
      </c>
      <c r="E45" s="425">
        <v>2.2124600000000001</v>
      </c>
      <c r="F45" s="425">
        <v>13.84</v>
      </c>
      <c r="G45" s="423">
        <v>417309</v>
      </c>
      <c r="H45" s="35">
        <f t="shared" si="1"/>
        <v>5775556.5599999996</v>
      </c>
      <c r="I45" s="35">
        <f t="shared" si="2"/>
        <v>12778187.8667376</v>
      </c>
      <c r="J45" s="35">
        <f>I45*VLOOKUP(DATA_BASE,IPCA!$B$5:$C$382,2,FALSE)/VLOOKUP($E$5,IPCA!$B$5:$C$382,2,FALSE)</f>
        <v>17501888.073858444</v>
      </c>
    </row>
    <row r="46" spans="2:10">
      <c r="B46" s="161">
        <v>40</v>
      </c>
      <c r="C46" s="272">
        <v>45505</v>
      </c>
      <c r="D46" s="274">
        <f t="shared" si="0"/>
        <v>2024</v>
      </c>
      <c r="E46" s="425">
        <v>2.2124600000000001</v>
      </c>
      <c r="F46" s="425">
        <v>13.84</v>
      </c>
      <c r="G46" s="423">
        <v>419816</v>
      </c>
      <c r="H46" s="35">
        <f t="shared" si="1"/>
        <v>5810253.4399999995</v>
      </c>
      <c r="I46" s="35">
        <f t="shared" si="2"/>
        <v>12854953.3258624</v>
      </c>
      <c r="J46" s="35">
        <f>I46*VLOOKUP(DATA_BASE,IPCA!$B$5:$C$382,2,FALSE)/VLOOKUP($E$5,IPCA!$B$5:$C$382,2,FALSE)</f>
        <v>17607031.345154203</v>
      </c>
    </row>
    <row r="47" spans="2:10">
      <c r="B47" s="161">
        <v>41</v>
      </c>
      <c r="C47" s="272">
        <v>45536</v>
      </c>
      <c r="D47" s="274">
        <f t="shared" si="0"/>
        <v>2024</v>
      </c>
      <c r="E47" s="425">
        <v>2.2124600000000001</v>
      </c>
      <c r="F47" s="425">
        <v>13.84</v>
      </c>
      <c r="G47" s="423">
        <v>422421</v>
      </c>
      <c r="H47" s="35">
        <f t="shared" si="1"/>
        <v>5846306.6399999997</v>
      </c>
      <c r="I47" s="35">
        <f t="shared" si="2"/>
        <v>12934719.5887344</v>
      </c>
      <c r="J47" s="35">
        <f>I47*VLOOKUP(DATA_BASE,IPCA!$B$5:$C$382,2,FALSE)/VLOOKUP($E$5,IPCA!$B$5:$C$382,2,FALSE)</f>
        <v>17716284.724382546</v>
      </c>
    </row>
    <row r="48" spans="2:10">
      <c r="B48" s="161">
        <v>42</v>
      </c>
      <c r="C48" s="272">
        <v>45566</v>
      </c>
      <c r="D48" s="274">
        <f t="shared" si="0"/>
        <v>2024</v>
      </c>
      <c r="E48" s="425">
        <v>2.2124600000000001</v>
      </c>
      <c r="F48" s="425">
        <v>13.84</v>
      </c>
      <c r="G48" s="423">
        <v>425123</v>
      </c>
      <c r="H48" s="35">
        <f t="shared" si="1"/>
        <v>5883702.3200000003</v>
      </c>
      <c r="I48" s="35">
        <f t="shared" si="2"/>
        <v>13017456.034907201</v>
      </c>
      <c r="J48" s="35">
        <f>I48*VLOOKUP(DATA_BASE,IPCA!$B$5:$C$382,2,FALSE)/VLOOKUP($E$5,IPCA!$B$5:$C$382,2,FALSE)</f>
        <v>17829606.271666612</v>
      </c>
    </row>
    <row r="49" spans="2:10">
      <c r="B49" s="161">
        <v>43</v>
      </c>
      <c r="C49" s="272">
        <v>45597</v>
      </c>
      <c r="D49" s="274">
        <f t="shared" si="0"/>
        <v>2024</v>
      </c>
      <c r="E49" s="425">
        <v>2.2124600000000001</v>
      </c>
      <c r="F49" s="425">
        <v>13.84</v>
      </c>
      <c r="G49" s="423">
        <v>427931</v>
      </c>
      <c r="H49" s="35">
        <f t="shared" si="1"/>
        <v>5922565.04</v>
      </c>
      <c r="I49" s="35">
        <f t="shared" si="2"/>
        <v>13103438.248398401</v>
      </c>
      <c r="J49" s="35">
        <f>I49*VLOOKUP(DATA_BASE,IPCA!$B$5:$C$382,2,FALSE)/VLOOKUP($E$5,IPCA!$B$5:$C$382,2,FALSE)</f>
        <v>17947373.445898164</v>
      </c>
    </row>
    <row r="50" spans="2:10">
      <c r="B50" s="161">
        <v>44</v>
      </c>
      <c r="C50" s="272">
        <v>45627</v>
      </c>
      <c r="D50" s="274">
        <f t="shared" si="0"/>
        <v>2024</v>
      </c>
      <c r="E50" s="425">
        <v>2.2124600000000001</v>
      </c>
      <c r="F50" s="425">
        <v>13.84</v>
      </c>
      <c r="G50" s="423">
        <v>430849</v>
      </c>
      <c r="H50" s="35">
        <f t="shared" si="1"/>
        <v>5962950.1600000001</v>
      </c>
      <c r="I50" s="35">
        <f t="shared" si="2"/>
        <v>13192788.710993601</v>
      </c>
      <c r="J50" s="35">
        <f>I50*VLOOKUP(DATA_BASE,IPCA!$B$5:$C$382,2,FALSE)/VLOOKUP($E$5,IPCA!$B$5:$C$382,2,FALSE)</f>
        <v>18069754.006584655</v>
      </c>
    </row>
    <row r="51" spans="2:10">
      <c r="B51" s="161">
        <v>45</v>
      </c>
      <c r="C51" s="272">
        <v>45658</v>
      </c>
      <c r="D51" s="274">
        <f t="shared" si="0"/>
        <v>2025</v>
      </c>
      <c r="E51" s="425">
        <v>2.2124600000000001</v>
      </c>
      <c r="F51" s="425">
        <v>13.84</v>
      </c>
      <c r="G51" s="423">
        <v>433885</v>
      </c>
      <c r="H51" s="35">
        <f t="shared" si="1"/>
        <v>6004968.4000000004</v>
      </c>
      <c r="I51" s="35">
        <f t="shared" si="2"/>
        <v>13285752.386264002</v>
      </c>
      <c r="J51" s="35">
        <f>I51*VLOOKUP(DATA_BASE,IPCA!$B$5:$C$382,2,FALSE)/VLOOKUP($E$5,IPCA!$B$5:$C$382,2,FALSE)</f>
        <v>18197083.472740993</v>
      </c>
    </row>
    <row r="52" spans="2:10">
      <c r="B52" s="161">
        <v>46</v>
      </c>
      <c r="C52" s="272">
        <v>45689</v>
      </c>
      <c r="D52" s="274">
        <f t="shared" si="0"/>
        <v>2025</v>
      </c>
      <c r="E52" s="425">
        <v>2.2124600000000001</v>
      </c>
      <c r="F52" s="425">
        <v>13.84</v>
      </c>
      <c r="G52" s="423">
        <v>437049</v>
      </c>
      <c r="H52" s="35">
        <f t="shared" si="1"/>
        <v>6048758.1600000001</v>
      </c>
      <c r="I52" s="35">
        <f t="shared" si="2"/>
        <v>13382635.478673602</v>
      </c>
      <c r="J52" s="35">
        <f>I52*VLOOKUP(DATA_BASE,IPCA!$B$5:$C$382,2,FALSE)/VLOOKUP($E$5,IPCA!$B$5:$C$382,2,FALSE)</f>
        <v>18329781.243135802</v>
      </c>
    </row>
    <row r="53" spans="2:10">
      <c r="B53" s="161">
        <v>47</v>
      </c>
      <c r="C53" s="272">
        <v>45717</v>
      </c>
      <c r="D53" s="274">
        <f t="shared" si="0"/>
        <v>2025</v>
      </c>
      <c r="E53" s="425">
        <v>2.2124600000000001</v>
      </c>
      <c r="F53" s="425">
        <v>13.84</v>
      </c>
      <c r="G53" s="423">
        <v>440341</v>
      </c>
      <c r="H53" s="35">
        <f t="shared" si="1"/>
        <v>6094319.4399999995</v>
      </c>
      <c r="I53" s="35">
        <f t="shared" si="2"/>
        <v>13483437.9882224</v>
      </c>
      <c r="J53" s="35">
        <f>I53*VLOOKUP(DATA_BASE,IPCA!$B$5:$C$382,2,FALSE)/VLOOKUP($E$5,IPCA!$B$5:$C$382,2,FALSE)</f>
        <v>18467847.317769088</v>
      </c>
    </row>
    <row r="54" spans="2:10">
      <c r="B54" s="161">
        <v>48</v>
      </c>
      <c r="C54" s="272">
        <v>45748</v>
      </c>
      <c r="D54" s="274">
        <f t="shared" si="0"/>
        <v>2025</v>
      </c>
      <c r="E54" s="425">
        <v>2.2124600000000001</v>
      </c>
      <c r="F54" s="425">
        <v>13.84</v>
      </c>
      <c r="G54" s="423">
        <v>443776</v>
      </c>
      <c r="H54" s="35">
        <f t="shared" si="1"/>
        <v>6141859.8399999999</v>
      </c>
      <c r="I54" s="35">
        <f t="shared" si="2"/>
        <v>13588619.2216064</v>
      </c>
      <c r="J54" s="35">
        <f>I54*VLOOKUP(DATA_BASE,IPCA!$B$5:$C$382,2,FALSE)/VLOOKUP($E$5,IPCA!$B$5:$C$382,2,FALSE)</f>
        <v>18611910.794793796</v>
      </c>
    </row>
    <row r="55" spans="2:10">
      <c r="B55" s="161">
        <v>49</v>
      </c>
      <c r="C55" s="272">
        <v>45778</v>
      </c>
      <c r="D55" s="274">
        <f t="shared" si="0"/>
        <v>2025</v>
      </c>
      <c r="E55" s="425">
        <v>2.2124600000000001</v>
      </c>
      <c r="F55" s="425">
        <v>13.84</v>
      </c>
      <c r="G55" s="423">
        <v>447721</v>
      </c>
      <c r="H55" s="35">
        <f t="shared" si="1"/>
        <v>6196458.6399999997</v>
      </c>
      <c r="I55" s="35">
        <f t="shared" si="2"/>
        <v>13709416.882654401</v>
      </c>
      <c r="J55" s="35">
        <f>I55*VLOOKUP(DATA_BASE,IPCA!$B$5:$C$382,2,FALSE)/VLOOKUP($E$5,IPCA!$B$5:$C$382,2,FALSE)</f>
        <v>18777363.60901868</v>
      </c>
    </row>
    <row r="56" spans="2:10">
      <c r="B56" s="161">
        <v>50</v>
      </c>
      <c r="C56" s="272">
        <v>45809</v>
      </c>
      <c r="D56" s="274">
        <f t="shared" si="0"/>
        <v>2025</v>
      </c>
      <c r="E56" s="425">
        <v>2.2124600000000001</v>
      </c>
      <c r="F56" s="425">
        <v>13.84</v>
      </c>
      <c r="G56" s="423">
        <v>450018</v>
      </c>
      <c r="H56" s="35">
        <f t="shared" si="1"/>
        <v>6228249.1200000001</v>
      </c>
      <c r="I56" s="35">
        <f t="shared" si="2"/>
        <v>13779752.048035201</v>
      </c>
      <c r="J56" s="35">
        <f>I56*VLOOKUP(DATA_BASE,IPCA!$B$5:$C$382,2,FALSE)/VLOOKUP($E$5,IPCA!$B$5:$C$382,2,FALSE)</f>
        <v>18873699.506173193</v>
      </c>
    </row>
    <row r="57" spans="2:10">
      <c r="B57" s="161">
        <v>51</v>
      </c>
      <c r="C57" s="272">
        <v>45839</v>
      </c>
      <c r="D57" s="274">
        <f t="shared" si="0"/>
        <v>2025</v>
      </c>
      <c r="E57" s="425">
        <v>2.2124600000000001</v>
      </c>
      <c r="F57" s="425">
        <v>13.84</v>
      </c>
      <c r="G57" s="423">
        <v>452405</v>
      </c>
      <c r="H57" s="35">
        <f t="shared" si="1"/>
        <v>6261285.2000000002</v>
      </c>
      <c r="I57" s="35">
        <f t="shared" si="2"/>
        <v>13852843.053592</v>
      </c>
      <c r="J57" s="35">
        <f>I57*VLOOKUP(DATA_BASE,IPCA!$B$5:$C$382,2,FALSE)/VLOOKUP($E$5,IPCA!$B$5:$C$382,2,FALSE)</f>
        <v>18973809.99224538</v>
      </c>
    </row>
    <row r="58" spans="2:10">
      <c r="B58" s="161">
        <v>52</v>
      </c>
      <c r="C58" s="272">
        <v>45870</v>
      </c>
      <c r="D58" s="274">
        <f t="shared" si="0"/>
        <v>2025</v>
      </c>
      <c r="E58" s="425">
        <v>2.2124600000000001</v>
      </c>
      <c r="F58" s="425">
        <v>13.84</v>
      </c>
      <c r="G58" s="423">
        <v>454880</v>
      </c>
      <c r="H58" s="35">
        <f t="shared" si="1"/>
        <v>6295539.2000000002</v>
      </c>
      <c r="I58" s="35">
        <f t="shared" si="2"/>
        <v>13928628.658432001</v>
      </c>
      <c r="J58" s="35">
        <f>I58*VLOOKUP(DATA_BASE,IPCA!$B$5:$C$382,2,FALSE)/VLOOKUP($E$5,IPCA!$B$5:$C$382,2,FALSE)</f>
        <v>19077611.187481526</v>
      </c>
    </row>
    <row r="59" spans="2:10">
      <c r="B59" s="161">
        <v>53</v>
      </c>
      <c r="C59" s="272">
        <v>45901</v>
      </c>
      <c r="D59" s="274">
        <f t="shared" si="0"/>
        <v>2025</v>
      </c>
      <c r="E59" s="425">
        <v>2.2124600000000001</v>
      </c>
      <c r="F59" s="425">
        <v>13.84</v>
      </c>
      <c r="G59" s="423">
        <v>457452</v>
      </c>
      <c r="H59" s="35">
        <f t="shared" si="1"/>
        <v>6331135.6799999997</v>
      </c>
      <c r="I59" s="35">
        <f t="shared" si="2"/>
        <v>14007384.446572799</v>
      </c>
      <c r="J59" s="35">
        <f>I59*VLOOKUP(DATA_BASE,IPCA!$B$5:$C$382,2,FALSE)/VLOOKUP($E$5,IPCA!$B$5:$C$382,2,FALSE)</f>
        <v>19185480.55077339</v>
      </c>
    </row>
    <row r="60" spans="2:10">
      <c r="B60" s="161">
        <v>54</v>
      </c>
      <c r="C60" s="272">
        <v>45931</v>
      </c>
      <c r="D60" s="274">
        <f t="shared" si="0"/>
        <v>2025</v>
      </c>
      <c r="E60" s="425">
        <v>2.2124600000000001</v>
      </c>
      <c r="F60" s="425">
        <v>13.84</v>
      </c>
      <c r="G60" s="423">
        <v>460130</v>
      </c>
      <c r="H60" s="35">
        <f t="shared" si="1"/>
        <v>6368199.2000000002</v>
      </c>
      <c r="I60" s="35">
        <f t="shared" si="2"/>
        <v>14089386.002032001</v>
      </c>
      <c r="J60" s="35">
        <f>I60*VLOOKUP(DATA_BASE,IPCA!$B$5:$C$382,2,FALSE)/VLOOKUP($E$5,IPCA!$B$5:$C$382,2,FALSE)</f>
        <v>19297795.541012738</v>
      </c>
    </row>
    <row r="61" spans="2:10">
      <c r="B61" s="161">
        <v>55</v>
      </c>
      <c r="C61" s="272">
        <v>45962</v>
      </c>
      <c r="D61" s="274">
        <f t="shared" si="0"/>
        <v>2025</v>
      </c>
      <c r="E61" s="425">
        <v>2.2124600000000001</v>
      </c>
      <c r="F61" s="425">
        <v>13.84</v>
      </c>
      <c r="G61" s="423">
        <v>462915</v>
      </c>
      <c r="H61" s="35">
        <f t="shared" si="1"/>
        <v>6406743.5999999996</v>
      </c>
      <c r="I61" s="35">
        <f t="shared" si="2"/>
        <v>14174663.945256</v>
      </c>
      <c r="J61" s="35">
        <f>I61*VLOOKUP(DATA_BASE,IPCA!$B$5:$C$382,2,FALSE)/VLOOKUP($E$5,IPCA!$B$5:$C$382,2,FALSE)</f>
        <v>19414598.098076437</v>
      </c>
    </row>
    <row r="62" spans="2:10">
      <c r="B62" s="161">
        <v>56</v>
      </c>
      <c r="C62" s="272">
        <v>45992</v>
      </c>
      <c r="D62" s="274">
        <f t="shared" si="0"/>
        <v>2025</v>
      </c>
      <c r="E62" s="425">
        <v>2.2124600000000001</v>
      </c>
      <c r="F62" s="425">
        <v>13.84</v>
      </c>
      <c r="G62" s="423">
        <v>465820</v>
      </c>
      <c r="H62" s="35">
        <f t="shared" si="1"/>
        <v>6446948.7999999998</v>
      </c>
      <c r="I62" s="35">
        <f t="shared" si="2"/>
        <v>14263616.342048001</v>
      </c>
      <c r="J62" s="35">
        <f>I62*VLOOKUP(DATA_BASE,IPCA!$B$5:$C$382,2,FALSE)/VLOOKUP($E$5,IPCA!$B$5:$C$382,2,FALSE)</f>
        <v>19536433.440363709</v>
      </c>
    </row>
    <row r="63" spans="2:10">
      <c r="B63" s="161">
        <v>57</v>
      </c>
      <c r="C63" s="272">
        <v>46023</v>
      </c>
      <c r="D63" s="274">
        <f t="shared" si="0"/>
        <v>2026</v>
      </c>
      <c r="E63" s="425">
        <v>2.2124600000000001</v>
      </c>
      <c r="F63" s="425">
        <v>13.84</v>
      </c>
      <c r="G63" s="423">
        <v>468853</v>
      </c>
      <c r="H63" s="35">
        <f t="shared" si="1"/>
        <v>6488925.5199999996</v>
      </c>
      <c r="I63" s="35">
        <f t="shared" si="2"/>
        <v>14356488.155979199</v>
      </c>
      <c r="J63" s="35">
        <f>I63*VLOOKUP(DATA_BASE,IPCA!$B$5:$C$382,2,FALSE)/VLOOKUP($E$5,IPCA!$B$5:$C$382,2,FALSE)</f>
        <v>19663637.086889453</v>
      </c>
    </row>
    <row r="64" spans="2:10">
      <c r="B64" s="161">
        <v>58</v>
      </c>
      <c r="C64" s="272">
        <v>46054</v>
      </c>
      <c r="D64" s="274">
        <f t="shared" si="0"/>
        <v>2026</v>
      </c>
      <c r="E64" s="425">
        <v>2.2124600000000001</v>
      </c>
      <c r="F64" s="425">
        <v>13.84</v>
      </c>
      <c r="G64" s="423">
        <v>472023</v>
      </c>
      <c r="H64" s="35">
        <f t="shared" si="1"/>
        <v>6532798.3200000003</v>
      </c>
      <c r="I64" s="35">
        <f t="shared" si="2"/>
        <v>14453554.971067201</v>
      </c>
      <c r="J64" s="35">
        <f>I64*VLOOKUP(DATA_BASE,IPCA!$B$5:$C$382,2,FALSE)/VLOOKUP($E$5,IPCA!$B$5:$C$382,2,FALSE)</f>
        <v>19796586.496545445</v>
      </c>
    </row>
    <row r="65" spans="2:18">
      <c r="B65" s="161">
        <v>59</v>
      </c>
      <c r="C65" s="272">
        <v>46082</v>
      </c>
      <c r="D65" s="274">
        <f t="shared" si="0"/>
        <v>2026</v>
      </c>
      <c r="E65" s="425">
        <v>2.2124600000000001</v>
      </c>
      <c r="F65" s="425">
        <v>13.84</v>
      </c>
      <c r="G65" s="423">
        <v>475342</v>
      </c>
      <c r="H65" s="35">
        <f t="shared" si="1"/>
        <v>6578733.2800000003</v>
      </c>
      <c r="I65" s="35">
        <f t="shared" si="2"/>
        <v>14555184.2326688</v>
      </c>
      <c r="J65" s="35">
        <f>I65*VLOOKUP(DATA_BASE,IPCA!$B$5:$C$382,2,FALSE)/VLOOKUP($E$5,IPCA!$B$5:$C$382,2,FALSE)</f>
        <v>19935784.947854035</v>
      </c>
    </row>
    <row r="66" spans="2:18">
      <c r="B66" s="273" t="s">
        <v>380</v>
      </c>
      <c r="R66"/>
    </row>
    <row r="67" spans="2:18">
      <c r="Q67" s="28"/>
      <c r="R67"/>
    </row>
    <row r="68" spans="2:18" hidden="1">
      <c r="Q68" s="28"/>
      <c r="R68"/>
    </row>
    <row r="69" spans="2:18" hidden="1">
      <c r="Q69" s="28"/>
      <c r="R69"/>
    </row>
    <row r="70" spans="2:18" hidden="1">
      <c r="Q70" s="28"/>
      <c r="R70"/>
    </row>
    <row r="71" spans="2:18" hidden="1">
      <c r="Q71" s="28"/>
      <c r="R71"/>
    </row>
    <row r="72" spans="2:18" hidden="1">
      <c r="Q72" s="28"/>
      <c r="R72"/>
    </row>
    <row r="73" spans="2:18" hidden="1">
      <c r="Q73" s="28"/>
      <c r="R73"/>
    </row>
    <row r="74" spans="2:18" hidden="1">
      <c r="Q74" s="28"/>
      <c r="R74"/>
    </row>
    <row r="75" spans="2:18" hidden="1">
      <c r="Q75" s="28"/>
      <c r="R75"/>
    </row>
    <row r="76" spans="2:18" hidden="1">
      <c r="Q76" s="28"/>
      <c r="R76"/>
    </row>
    <row r="77" spans="2:18" hidden="1">
      <c r="Q77" s="28"/>
      <c r="R77"/>
    </row>
    <row r="78" spans="2:18" hidden="1">
      <c r="Q78" s="28"/>
      <c r="R78"/>
    </row>
    <row r="79" spans="2:18" hidden="1">
      <c r="Q79" s="28"/>
      <c r="R79"/>
    </row>
    <row r="80" spans="2:18" hidden="1">
      <c r="Q80" s="28"/>
      <c r="R80"/>
    </row>
    <row r="81" spans="17:18" hidden="1">
      <c r="Q81" s="28"/>
      <c r="R81"/>
    </row>
    <row r="82" spans="17:18" hidden="1">
      <c r="Q82" s="28"/>
      <c r="R82"/>
    </row>
    <row r="83" spans="17:18" hidden="1">
      <c r="Q83" s="28"/>
      <c r="R83"/>
    </row>
    <row r="84" spans="17:18" hidden="1">
      <c r="Q84" s="28"/>
      <c r="R84"/>
    </row>
    <row r="85" spans="17:18" hidden="1">
      <c r="Q85" s="28"/>
      <c r="R85"/>
    </row>
    <row r="86" spans="17:18" hidden="1">
      <c r="Q86" s="28"/>
      <c r="R86"/>
    </row>
    <row r="87" spans="17:18" hidden="1">
      <c r="Q87" s="28"/>
      <c r="R87"/>
    </row>
    <row r="88" spans="17:18" hidden="1">
      <c r="Q88" s="28"/>
      <c r="R88"/>
    </row>
    <row r="89" spans="17:18" hidden="1">
      <c r="Q89" s="28"/>
      <c r="R89"/>
    </row>
    <row r="90" spans="17:18" hidden="1">
      <c r="Q90" s="28"/>
      <c r="R90"/>
    </row>
    <row r="91" spans="17:18" hidden="1">
      <c r="Q91" s="28"/>
      <c r="R91"/>
    </row>
    <row r="92" spans="17:18" hidden="1">
      <c r="Q92" s="28"/>
      <c r="R92"/>
    </row>
    <row r="93" spans="17:18" hidden="1">
      <c r="Q93" s="28"/>
      <c r="R93"/>
    </row>
    <row r="94" spans="17:18" hidden="1">
      <c r="Q94" s="28"/>
      <c r="R94"/>
    </row>
    <row r="95" spans="17:18" hidden="1">
      <c r="Q95" s="28"/>
      <c r="R95"/>
    </row>
    <row r="96" spans="17:18" hidden="1">
      <c r="Q96" s="28"/>
      <c r="R96"/>
    </row>
    <row r="97" spans="17:18" hidden="1">
      <c r="Q97" s="28"/>
      <c r="R97"/>
    </row>
    <row r="98" spans="17:18" hidden="1">
      <c r="Q98" s="28"/>
      <c r="R98"/>
    </row>
    <row r="99" spans="17:18" hidden="1">
      <c r="Q99" s="28"/>
      <c r="R99"/>
    </row>
    <row r="100" spans="17:18" hidden="1">
      <c r="Q100" s="28"/>
      <c r="R100"/>
    </row>
    <row r="101" spans="17:18" hidden="1">
      <c r="Q101" s="28"/>
      <c r="R101"/>
    </row>
    <row r="102" spans="17:18" hidden="1">
      <c r="Q102" s="28"/>
      <c r="R102"/>
    </row>
    <row r="103" spans="17:18" hidden="1">
      <c r="Q103" s="28"/>
      <c r="R103"/>
    </row>
    <row r="104" spans="17:18" hidden="1">
      <c r="Q104" s="28"/>
      <c r="R104"/>
    </row>
    <row r="105" spans="17:18" hidden="1">
      <c r="Q105" s="28"/>
      <c r="R105"/>
    </row>
    <row r="106" spans="17:18" hidden="1">
      <c r="Q106" s="28"/>
      <c r="R106"/>
    </row>
    <row r="107" spans="17:18" hidden="1">
      <c r="Q107" s="28"/>
      <c r="R107"/>
    </row>
    <row r="108" spans="17:18" hidden="1">
      <c r="Q108" s="28"/>
      <c r="R108"/>
    </row>
    <row r="109" spans="17:18" hidden="1">
      <c r="Q109" s="28"/>
      <c r="R109"/>
    </row>
    <row r="110" spans="17:18" hidden="1">
      <c r="Q110" s="28"/>
      <c r="R110"/>
    </row>
    <row r="111" spans="17:18" hidden="1">
      <c r="Q111" s="28"/>
      <c r="R111"/>
    </row>
    <row r="112" spans="17:18" hidden="1">
      <c r="Q112" s="28"/>
      <c r="R112"/>
    </row>
    <row r="113" spans="17:18" hidden="1">
      <c r="Q113" s="28"/>
      <c r="R113"/>
    </row>
    <row r="114" spans="17:18" hidden="1">
      <c r="Q114" s="28"/>
      <c r="R114"/>
    </row>
    <row r="115" spans="17:18" hidden="1">
      <c r="Q115" s="28"/>
      <c r="R115"/>
    </row>
    <row r="116" spans="17:18" hidden="1">
      <c r="Q116" s="28"/>
      <c r="R116"/>
    </row>
    <row r="117" spans="17:18" hidden="1">
      <c r="Q117" s="28"/>
      <c r="R117"/>
    </row>
    <row r="118" spans="17:18" hidden="1">
      <c r="Q118" s="28"/>
      <c r="R118"/>
    </row>
    <row r="119" spans="17:18" hidden="1">
      <c r="Q119" s="28"/>
      <c r="R119"/>
    </row>
    <row r="120" spans="17:18" hidden="1">
      <c r="Q120" s="28"/>
      <c r="R120"/>
    </row>
    <row r="121" spans="17:18" hidden="1">
      <c r="Q121" s="28"/>
      <c r="R121"/>
    </row>
    <row r="122" spans="17:18" hidden="1">
      <c r="Q122" s="28"/>
      <c r="R122"/>
    </row>
    <row r="123" spans="17:18" hidden="1">
      <c r="Q123" s="28"/>
      <c r="R123"/>
    </row>
    <row r="124" spans="17:18" hidden="1">
      <c r="Q124" s="28"/>
      <c r="R124"/>
    </row>
    <row r="125" spans="17:18" hidden="1">
      <c r="Q125" s="28"/>
      <c r="R125"/>
    </row>
    <row r="126" spans="17:18" hidden="1">
      <c r="Q126" s="28"/>
      <c r="R126"/>
    </row>
    <row r="127" spans="17:18" hidden="1">
      <c r="Q127" s="28"/>
      <c r="R127"/>
    </row>
    <row r="128" spans="17:18" hidden="1">
      <c r="Q128" s="28"/>
      <c r="R128"/>
    </row>
    <row r="129" spans="17:18" hidden="1">
      <c r="Q129" s="28"/>
      <c r="R129"/>
    </row>
    <row r="130" spans="17:18" hidden="1">
      <c r="Q130" s="28"/>
      <c r="R130"/>
    </row>
    <row r="131" spans="17:18" hidden="1">
      <c r="Q131" s="28"/>
      <c r="R131"/>
    </row>
    <row r="132" spans="17:18" hidden="1">
      <c r="Q132" s="28"/>
      <c r="R132"/>
    </row>
    <row r="133" spans="17:18" hidden="1">
      <c r="Q133" s="28"/>
      <c r="R133"/>
    </row>
    <row r="134" spans="17:18" hidden="1">
      <c r="Q134" s="28"/>
      <c r="R134"/>
    </row>
    <row r="135" spans="17:18" hidden="1">
      <c r="Q135" s="28"/>
      <c r="R135"/>
    </row>
    <row r="136" spans="17:18" hidden="1">
      <c r="Q136" s="28"/>
      <c r="R136"/>
    </row>
    <row r="137" spans="17:18" hidden="1">
      <c r="Q137" s="28"/>
      <c r="R137"/>
    </row>
    <row r="138" spans="17:18" hidden="1">
      <c r="Q138" s="28"/>
      <c r="R138"/>
    </row>
    <row r="139" spans="17:18" hidden="1">
      <c r="Q139" s="28"/>
      <c r="R139"/>
    </row>
    <row r="140" spans="17:18" hidden="1">
      <c r="Q140" s="28"/>
      <c r="R140"/>
    </row>
    <row r="141" spans="17:18" hidden="1">
      <c r="Q141" s="28"/>
      <c r="R141"/>
    </row>
    <row r="142" spans="17:18" hidden="1">
      <c r="Q142" s="28"/>
      <c r="R142"/>
    </row>
    <row r="143" spans="17:18" hidden="1">
      <c r="Q143" s="28"/>
      <c r="R143"/>
    </row>
    <row r="144" spans="17:18" hidden="1">
      <c r="Q144" s="28"/>
      <c r="R144"/>
    </row>
    <row r="145" spans="17:18" hidden="1">
      <c r="Q145" s="28"/>
      <c r="R145"/>
    </row>
    <row r="146" spans="17:18" hidden="1">
      <c r="Q146" s="28"/>
      <c r="R146"/>
    </row>
    <row r="147" spans="17:18" hidden="1">
      <c r="Q147" s="28"/>
      <c r="R147"/>
    </row>
    <row r="148" spans="17:18" hidden="1">
      <c r="Q148" s="28"/>
      <c r="R148"/>
    </row>
    <row r="149" spans="17:18" hidden="1">
      <c r="Q149" s="28"/>
      <c r="R149"/>
    </row>
    <row r="150" spans="17:18" hidden="1">
      <c r="Q150" s="28"/>
      <c r="R150"/>
    </row>
    <row r="151" spans="17:18" hidden="1">
      <c r="Q151" s="28"/>
      <c r="R151"/>
    </row>
    <row r="152" spans="17:18" hidden="1">
      <c r="Q152" s="28"/>
      <c r="R152"/>
    </row>
    <row r="153" spans="17:18" hidden="1">
      <c r="Q153" s="28"/>
      <c r="R153"/>
    </row>
    <row r="154" spans="17:18" hidden="1">
      <c r="Q154" s="28"/>
      <c r="R154"/>
    </row>
    <row r="155" spans="17:18" hidden="1">
      <c r="Q155" s="28"/>
      <c r="R155"/>
    </row>
    <row r="156" spans="17:18" hidden="1">
      <c r="Q156" s="28"/>
      <c r="R156"/>
    </row>
    <row r="157" spans="17:18" hidden="1">
      <c r="Q157" s="28"/>
      <c r="R157"/>
    </row>
    <row r="158" spans="17:18" hidden="1">
      <c r="Q158" s="28"/>
      <c r="R158"/>
    </row>
    <row r="159" spans="17:18" hidden="1">
      <c r="Q159" s="28"/>
      <c r="R159"/>
    </row>
    <row r="160" spans="17:18" hidden="1">
      <c r="Q160" s="28"/>
      <c r="R160"/>
    </row>
    <row r="161" spans="17:18" hidden="1">
      <c r="Q161" s="28"/>
      <c r="R161"/>
    </row>
    <row r="162" spans="17:18" hidden="1">
      <c r="Q162" s="28"/>
      <c r="R162"/>
    </row>
    <row r="163" spans="17:18" hidden="1">
      <c r="Q163" s="28"/>
      <c r="R163"/>
    </row>
    <row r="164" spans="17:18" hidden="1">
      <c r="Q164" s="28"/>
      <c r="R164"/>
    </row>
    <row r="165" spans="17:18" hidden="1">
      <c r="Q165" s="28"/>
      <c r="R165"/>
    </row>
    <row r="166" spans="17:18" hidden="1">
      <c r="Q166" s="28"/>
      <c r="R166"/>
    </row>
    <row r="167" spans="17:18" hidden="1">
      <c r="Q167" s="28"/>
      <c r="R167"/>
    </row>
    <row r="168" spans="17:18" hidden="1">
      <c r="Q168" s="28"/>
      <c r="R168"/>
    </row>
    <row r="169" spans="17:18" hidden="1">
      <c r="Q169" s="28"/>
      <c r="R169"/>
    </row>
    <row r="170" spans="17:18" hidden="1">
      <c r="Q170" s="28"/>
      <c r="R170"/>
    </row>
    <row r="171" spans="17:18" hidden="1">
      <c r="Q171" s="28"/>
      <c r="R171"/>
    </row>
    <row r="172" spans="17:18" hidden="1">
      <c r="Q172" s="28"/>
      <c r="R172"/>
    </row>
    <row r="173" spans="17:18" hidden="1">
      <c r="Q173" s="28"/>
      <c r="R173"/>
    </row>
    <row r="174" spans="17:18" hidden="1">
      <c r="Q174" s="28"/>
      <c r="R174"/>
    </row>
    <row r="175" spans="17:18" hidden="1">
      <c r="Q175" s="28"/>
      <c r="R175"/>
    </row>
    <row r="176" spans="17:18" hidden="1">
      <c r="Q176" s="28"/>
      <c r="R176"/>
    </row>
    <row r="177" spans="17:18" hidden="1">
      <c r="Q177" s="28"/>
      <c r="R177"/>
    </row>
    <row r="178" spans="17:18" hidden="1">
      <c r="Q178" s="28"/>
      <c r="R178"/>
    </row>
    <row r="179" spans="17:18" hidden="1">
      <c r="Q179" s="28"/>
      <c r="R179"/>
    </row>
    <row r="180" spans="17:18" hidden="1">
      <c r="Q180" s="28"/>
      <c r="R180"/>
    </row>
    <row r="181" spans="17:18" hidden="1">
      <c r="Q181" s="28"/>
      <c r="R181"/>
    </row>
    <row r="182" spans="17:18" hidden="1">
      <c r="Q182" s="28"/>
      <c r="R182"/>
    </row>
    <row r="183" spans="17:18" hidden="1">
      <c r="Q183" s="28"/>
      <c r="R183"/>
    </row>
    <row r="184" spans="17:18" hidden="1">
      <c r="Q184" s="28"/>
      <c r="R184"/>
    </row>
    <row r="185" spans="17:18" hidden="1">
      <c r="Q185" s="28"/>
      <c r="R185"/>
    </row>
    <row r="186" spans="17:18" hidden="1">
      <c r="Q186" s="28"/>
      <c r="R186"/>
    </row>
    <row r="187" spans="17:18" hidden="1">
      <c r="Q187" s="28"/>
      <c r="R187"/>
    </row>
    <row r="188" spans="17:18" hidden="1">
      <c r="Q188" s="28"/>
      <c r="R188"/>
    </row>
    <row r="189" spans="17:18" hidden="1">
      <c r="Q189" s="28"/>
      <c r="R189"/>
    </row>
    <row r="190" spans="17:18" hidden="1">
      <c r="Q190" s="28"/>
      <c r="R190"/>
    </row>
    <row r="191" spans="17:18" hidden="1">
      <c r="Q191" s="28"/>
      <c r="R191"/>
    </row>
    <row r="192" spans="17:18" hidden="1">
      <c r="Q192" s="28"/>
      <c r="R192"/>
    </row>
    <row r="193" spans="17:18" hidden="1">
      <c r="Q193" s="28"/>
      <c r="R193"/>
    </row>
    <row r="194" spans="17:18" hidden="1">
      <c r="Q194" s="28"/>
      <c r="R194"/>
    </row>
    <row r="195" spans="17:18" hidden="1">
      <c r="Q195" s="28"/>
      <c r="R195"/>
    </row>
    <row r="196" spans="17:18" hidden="1">
      <c r="Q196" s="28"/>
      <c r="R196"/>
    </row>
    <row r="197" spans="17:18" hidden="1">
      <c r="Q197" s="28"/>
      <c r="R197"/>
    </row>
    <row r="198" spans="17:18" hidden="1">
      <c r="Q198" s="28"/>
      <c r="R198"/>
    </row>
    <row r="199" spans="17:18" hidden="1">
      <c r="Q199" s="28"/>
      <c r="R199"/>
    </row>
    <row r="200" spans="17:18" hidden="1">
      <c r="Q200" s="28"/>
      <c r="R200"/>
    </row>
    <row r="201" spans="17:18" hidden="1">
      <c r="Q201" s="28"/>
      <c r="R201"/>
    </row>
    <row r="202" spans="17:18" hidden="1">
      <c r="Q202" s="28"/>
      <c r="R202"/>
    </row>
    <row r="203" spans="17:18" hidden="1">
      <c r="Q203" s="28"/>
      <c r="R203"/>
    </row>
    <row r="204" spans="17:18" hidden="1">
      <c r="Q204" s="28"/>
      <c r="R204"/>
    </row>
    <row r="205" spans="17:18" hidden="1">
      <c r="Q205" s="28"/>
      <c r="R205"/>
    </row>
    <row r="206" spans="17:18" hidden="1">
      <c r="Q206" s="28"/>
      <c r="R206"/>
    </row>
    <row r="207" spans="17:18" hidden="1">
      <c r="Q207" s="28"/>
      <c r="R207"/>
    </row>
    <row r="208" spans="17:18" hidden="1">
      <c r="Q208" s="28"/>
      <c r="R208"/>
    </row>
    <row r="209" spans="17:18" hidden="1">
      <c r="Q209" s="28"/>
      <c r="R209"/>
    </row>
    <row r="210" spans="17:18" hidden="1">
      <c r="Q210" s="28"/>
      <c r="R210"/>
    </row>
    <row r="211" spans="17:18" hidden="1">
      <c r="Q211" s="28"/>
      <c r="R211"/>
    </row>
    <row r="212" spans="17:18" hidden="1">
      <c r="Q212" s="28"/>
      <c r="R212"/>
    </row>
    <row r="213" spans="17:18" hidden="1">
      <c r="Q213" s="28"/>
      <c r="R213"/>
    </row>
    <row r="214" spans="17:18" hidden="1">
      <c r="Q214" s="28"/>
      <c r="R214"/>
    </row>
    <row r="215" spans="17:18" hidden="1">
      <c r="Q215" s="28"/>
      <c r="R215"/>
    </row>
    <row r="216" spans="17:18" hidden="1">
      <c r="Q216" s="28"/>
      <c r="R216"/>
    </row>
    <row r="217" spans="17:18" hidden="1">
      <c r="Q217" s="28"/>
      <c r="R217"/>
    </row>
    <row r="218" spans="17:18" hidden="1">
      <c r="Q218" s="28"/>
      <c r="R218"/>
    </row>
    <row r="219" spans="17:18" hidden="1">
      <c r="Q219" s="28"/>
      <c r="R219"/>
    </row>
    <row r="220" spans="17:18" hidden="1">
      <c r="Q220" s="28"/>
      <c r="R220"/>
    </row>
    <row r="221" spans="17:18" hidden="1">
      <c r="Q221" s="28"/>
      <c r="R221"/>
    </row>
    <row r="222" spans="17:18" hidden="1">
      <c r="Q222" s="28"/>
      <c r="R222"/>
    </row>
    <row r="223" spans="17:18" hidden="1">
      <c r="Q223" s="28"/>
      <c r="R223"/>
    </row>
    <row r="224" spans="17:18" hidden="1">
      <c r="Q224" s="28"/>
      <c r="R224"/>
    </row>
    <row r="225" spans="17:18" hidden="1">
      <c r="Q225" s="28"/>
      <c r="R225"/>
    </row>
    <row r="226" spans="17:18" hidden="1">
      <c r="Q226" s="28"/>
      <c r="R226"/>
    </row>
    <row r="227" spans="17:18" hidden="1">
      <c r="Q227" s="28"/>
      <c r="R227"/>
    </row>
    <row r="228" spans="17:18" hidden="1">
      <c r="Q228" s="28"/>
      <c r="R228"/>
    </row>
    <row r="229" spans="17:18" hidden="1">
      <c r="Q229" s="28"/>
      <c r="R229"/>
    </row>
    <row r="230" spans="17:18" hidden="1">
      <c r="Q230" s="28"/>
      <c r="R230"/>
    </row>
    <row r="231" spans="17:18" hidden="1">
      <c r="Q231" s="28"/>
      <c r="R231"/>
    </row>
    <row r="232" spans="17:18" hidden="1">
      <c r="Q232" s="28"/>
      <c r="R232"/>
    </row>
    <row r="233" spans="17:18" hidden="1">
      <c r="Q233" s="28"/>
      <c r="R233"/>
    </row>
    <row r="234" spans="17:18" hidden="1">
      <c r="Q234" s="28"/>
      <c r="R234"/>
    </row>
    <row r="235" spans="17:18" hidden="1">
      <c r="Q235" s="28"/>
      <c r="R235"/>
    </row>
    <row r="236" spans="17:18" hidden="1">
      <c r="Q236" s="28"/>
      <c r="R236"/>
    </row>
    <row r="237" spans="17:18" hidden="1">
      <c r="Q237" s="28"/>
      <c r="R237"/>
    </row>
    <row r="238" spans="17:18" hidden="1">
      <c r="Q238" s="28"/>
      <c r="R238"/>
    </row>
    <row r="239" spans="17:18" hidden="1">
      <c r="Q239" s="28"/>
      <c r="R239"/>
    </row>
    <row r="240" spans="17:18" hidden="1">
      <c r="Q240" s="28"/>
      <c r="R240"/>
    </row>
    <row r="241" spans="17:18" hidden="1">
      <c r="Q241" s="28"/>
      <c r="R241"/>
    </row>
    <row r="242" spans="17:18" hidden="1">
      <c r="Q242" s="28"/>
      <c r="R242"/>
    </row>
    <row r="243" spans="17:18" hidden="1">
      <c r="Q243" s="28"/>
      <c r="R243"/>
    </row>
    <row r="244" spans="17:18" hidden="1">
      <c r="Q244" s="28"/>
      <c r="R244"/>
    </row>
    <row r="245" spans="17:18" hidden="1">
      <c r="Q245" s="28"/>
      <c r="R245"/>
    </row>
    <row r="246" spans="17:18" hidden="1">
      <c r="Q246" s="28"/>
      <c r="R246"/>
    </row>
    <row r="247" spans="17:18" hidden="1">
      <c r="Q247" s="28"/>
      <c r="R247"/>
    </row>
    <row r="248" spans="17:18" hidden="1">
      <c r="Q248" s="28"/>
      <c r="R248"/>
    </row>
    <row r="249" spans="17:18" hidden="1">
      <c r="Q249" s="28"/>
      <c r="R249"/>
    </row>
    <row r="250" spans="17:18" hidden="1">
      <c r="Q250" s="28"/>
      <c r="R250"/>
    </row>
    <row r="251" spans="17:18" hidden="1">
      <c r="Q251" s="28"/>
      <c r="R251"/>
    </row>
    <row r="252" spans="17:18" hidden="1">
      <c r="Q252" s="28"/>
      <c r="R252"/>
    </row>
    <row r="253" spans="17:18" hidden="1">
      <c r="Q253" s="28"/>
      <c r="R253"/>
    </row>
    <row r="254" spans="17:18" hidden="1">
      <c r="Q254" s="28"/>
      <c r="R254"/>
    </row>
    <row r="255" spans="17:18" hidden="1">
      <c r="Q255" s="28"/>
      <c r="R255"/>
    </row>
    <row r="256" spans="17:18" hidden="1">
      <c r="Q256" s="28"/>
      <c r="R256"/>
    </row>
    <row r="257" spans="17:18" hidden="1">
      <c r="Q257" s="28"/>
      <c r="R257"/>
    </row>
    <row r="258" spans="17:18" hidden="1">
      <c r="Q258" s="28"/>
      <c r="R258"/>
    </row>
    <row r="259" spans="17:18" hidden="1">
      <c r="Q259" s="28"/>
      <c r="R259"/>
    </row>
    <row r="260" spans="17:18" hidden="1">
      <c r="Q260" s="28"/>
      <c r="R260"/>
    </row>
    <row r="261" spans="17:18" hidden="1">
      <c r="Q261" s="28"/>
      <c r="R261"/>
    </row>
    <row r="262" spans="17:18" hidden="1">
      <c r="Q262" s="28"/>
      <c r="R262"/>
    </row>
    <row r="263" spans="17:18" hidden="1">
      <c r="Q263" s="28"/>
      <c r="R263"/>
    </row>
    <row r="264" spans="17:18" hidden="1">
      <c r="Q264" s="28"/>
      <c r="R264"/>
    </row>
    <row r="265" spans="17:18" hidden="1">
      <c r="Q265" s="28"/>
      <c r="R265"/>
    </row>
    <row r="266" spans="17:18" hidden="1">
      <c r="Q266" s="28"/>
      <c r="R266"/>
    </row>
    <row r="267" spans="17:18" hidden="1">
      <c r="Q267" s="28"/>
      <c r="R267"/>
    </row>
    <row r="268" spans="17:18" hidden="1">
      <c r="Q268" s="28"/>
      <c r="R268"/>
    </row>
    <row r="269" spans="17:18" hidden="1">
      <c r="Q269" s="28"/>
      <c r="R269"/>
    </row>
    <row r="270" spans="17:18" hidden="1">
      <c r="Q270" s="28"/>
      <c r="R270"/>
    </row>
    <row r="271" spans="17:18" hidden="1">
      <c r="Q271" s="28"/>
      <c r="R271"/>
    </row>
    <row r="272" spans="17:18" hidden="1">
      <c r="Q272" s="28"/>
      <c r="R272"/>
    </row>
    <row r="273" spans="17:18" hidden="1">
      <c r="Q273" s="28"/>
      <c r="R273"/>
    </row>
    <row r="274" spans="17:18" hidden="1">
      <c r="Q274" s="28"/>
      <c r="R274"/>
    </row>
    <row r="275" spans="17:18" hidden="1">
      <c r="Q275" s="28"/>
      <c r="R275"/>
    </row>
    <row r="276" spans="17:18" hidden="1">
      <c r="Q276" s="28"/>
      <c r="R276"/>
    </row>
    <row r="277" spans="17:18" hidden="1">
      <c r="Q277" s="28"/>
      <c r="R277"/>
    </row>
    <row r="278" spans="17:18" hidden="1">
      <c r="Q278" s="28"/>
      <c r="R278"/>
    </row>
    <row r="279" spans="17:18" hidden="1">
      <c r="Q279" s="28"/>
      <c r="R279"/>
    </row>
    <row r="280" spans="17:18" hidden="1">
      <c r="Q280" s="28"/>
      <c r="R280"/>
    </row>
    <row r="281" spans="17:18" hidden="1">
      <c r="Q281" s="28"/>
      <c r="R281"/>
    </row>
    <row r="282" spans="17:18" hidden="1">
      <c r="Q282" s="28"/>
      <c r="R282"/>
    </row>
    <row r="283" spans="17:18" hidden="1">
      <c r="Q283" s="28"/>
      <c r="R283"/>
    </row>
    <row r="284" spans="17:18" hidden="1">
      <c r="Q284" s="28"/>
      <c r="R284"/>
    </row>
    <row r="285" spans="17:18" hidden="1">
      <c r="Q285" s="28"/>
      <c r="R285"/>
    </row>
    <row r="286" spans="17:18" hidden="1">
      <c r="Q286" s="28"/>
      <c r="R286"/>
    </row>
    <row r="287" spans="17:18" hidden="1">
      <c r="Q287" s="28"/>
      <c r="R287"/>
    </row>
    <row r="288" spans="17:18" hidden="1">
      <c r="Q288" s="28"/>
      <c r="R288"/>
    </row>
    <row r="289" spans="17:18" hidden="1">
      <c r="Q289" s="28"/>
      <c r="R289"/>
    </row>
    <row r="290" spans="17:18" hidden="1">
      <c r="Q290" s="28"/>
      <c r="R290"/>
    </row>
    <row r="291" spans="17:18" hidden="1">
      <c r="Q291" s="28"/>
      <c r="R291"/>
    </row>
    <row r="292" spans="17:18" hidden="1">
      <c r="Q292" s="28"/>
      <c r="R292"/>
    </row>
    <row r="293" spans="17:18" hidden="1">
      <c r="Q293" s="28"/>
      <c r="R293"/>
    </row>
    <row r="294" spans="17:18" hidden="1">
      <c r="Q294" s="28"/>
      <c r="R294"/>
    </row>
    <row r="295" spans="17:18" hidden="1">
      <c r="Q295" s="28"/>
      <c r="R295"/>
    </row>
    <row r="296" spans="17:18" hidden="1">
      <c r="Q296" s="28"/>
      <c r="R296"/>
    </row>
    <row r="297" spans="17:18" hidden="1">
      <c r="Q297" s="28"/>
      <c r="R297"/>
    </row>
    <row r="298" spans="17:18" hidden="1">
      <c r="Q298" s="28"/>
      <c r="R298"/>
    </row>
    <row r="299" spans="17:18" hidden="1">
      <c r="Q299" s="28"/>
      <c r="R299"/>
    </row>
    <row r="300" spans="17:18" hidden="1">
      <c r="Q300" s="28"/>
      <c r="R300"/>
    </row>
    <row r="301" spans="17:18" hidden="1">
      <c r="Q301" s="28"/>
      <c r="R301"/>
    </row>
    <row r="302" spans="17:18" hidden="1">
      <c r="Q302" s="28"/>
      <c r="R302"/>
    </row>
    <row r="303" spans="17:18" hidden="1">
      <c r="Q303" s="28"/>
      <c r="R303"/>
    </row>
    <row r="304" spans="17:18" hidden="1">
      <c r="Q304" s="28"/>
      <c r="R304"/>
    </row>
    <row r="305" spans="17:18" hidden="1">
      <c r="Q305" s="28"/>
      <c r="R305"/>
    </row>
    <row r="306" spans="17:18" hidden="1">
      <c r="Q306" s="28"/>
      <c r="R306"/>
    </row>
    <row r="307" spans="17:18" hidden="1">
      <c r="Q307" s="28"/>
      <c r="R307"/>
    </row>
    <row r="308" spans="17:18" hidden="1">
      <c r="Q308" s="28"/>
      <c r="R308"/>
    </row>
    <row r="309" spans="17:18" hidden="1">
      <c r="Q309" s="28"/>
      <c r="R309"/>
    </row>
    <row r="310" spans="17:18" hidden="1">
      <c r="Q310" s="28"/>
      <c r="R310"/>
    </row>
    <row r="311" spans="17:18" hidden="1">
      <c r="Q311" s="28"/>
      <c r="R311"/>
    </row>
    <row r="312" spans="17:18" hidden="1">
      <c r="Q312" s="28"/>
      <c r="R312"/>
    </row>
    <row r="313" spans="17:18" hidden="1">
      <c r="Q313" s="28"/>
      <c r="R313"/>
    </row>
    <row r="314" spans="17:18" hidden="1">
      <c r="Q314" s="28"/>
      <c r="R314"/>
    </row>
    <row r="315" spans="17:18" hidden="1">
      <c r="Q315" s="28"/>
      <c r="R315"/>
    </row>
    <row r="316" spans="17:18" hidden="1">
      <c r="Q316" s="28"/>
      <c r="R316"/>
    </row>
    <row r="317" spans="17:18" hidden="1">
      <c r="Q317" s="28"/>
      <c r="R317"/>
    </row>
    <row r="318" spans="17:18" hidden="1">
      <c r="Q318" s="28"/>
      <c r="R318"/>
    </row>
    <row r="319" spans="17:18" hidden="1">
      <c r="Q319" s="28"/>
      <c r="R319"/>
    </row>
    <row r="320" spans="17:18" hidden="1">
      <c r="Q320" s="28"/>
      <c r="R320"/>
    </row>
    <row r="321" spans="17:18" hidden="1">
      <c r="Q321" s="28"/>
      <c r="R321"/>
    </row>
    <row r="322" spans="17:18" hidden="1">
      <c r="Q322" s="28"/>
      <c r="R322"/>
    </row>
    <row r="323" spans="17:18" hidden="1">
      <c r="Q323" s="28"/>
      <c r="R323"/>
    </row>
    <row r="324" spans="17:18" hidden="1">
      <c r="Q324" s="28"/>
      <c r="R324"/>
    </row>
    <row r="325" spans="17:18" hidden="1">
      <c r="Q325" s="28"/>
      <c r="R325"/>
    </row>
    <row r="326" spans="17:18" hidden="1">
      <c r="Q326" s="28"/>
      <c r="R326"/>
    </row>
    <row r="327" spans="17:18" hidden="1">
      <c r="Q327" s="28"/>
      <c r="R327"/>
    </row>
    <row r="328" spans="17:18" hidden="1">
      <c r="Q328" s="28"/>
      <c r="R328"/>
    </row>
    <row r="329" spans="17:18" hidden="1">
      <c r="Q329" s="28"/>
      <c r="R329"/>
    </row>
    <row r="330" spans="17:18" hidden="1">
      <c r="Q330" s="28"/>
      <c r="R330"/>
    </row>
    <row r="331" spans="17:18" hidden="1">
      <c r="Q331" s="28"/>
      <c r="R331"/>
    </row>
    <row r="332" spans="17:18" hidden="1">
      <c r="Q332" s="28"/>
      <c r="R332"/>
    </row>
    <row r="333" spans="17:18" hidden="1">
      <c r="Q333" s="28"/>
      <c r="R333"/>
    </row>
    <row r="334" spans="17:18" hidden="1">
      <c r="Q334" s="28"/>
      <c r="R334"/>
    </row>
    <row r="335" spans="17:18" hidden="1">
      <c r="Q335" s="28"/>
      <c r="R335"/>
    </row>
    <row r="336" spans="17:18" hidden="1">
      <c r="Q336" s="28"/>
      <c r="R336"/>
    </row>
    <row r="337" spans="17:18" hidden="1">
      <c r="Q337" s="28"/>
      <c r="R337"/>
    </row>
    <row r="338" spans="17:18" hidden="1">
      <c r="Q338" s="28"/>
      <c r="R338"/>
    </row>
    <row r="339" spans="17:18" hidden="1">
      <c r="Q339" s="28"/>
      <c r="R339"/>
    </row>
    <row r="340" spans="17:18" hidden="1">
      <c r="Q340" s="28"/>
      <c r="R340"/>
    </row>
    <row r="341" spans="17:18" hidden="1">
      <c r="Q341" s="28"/>
      <c r="R341"/>
    </row>
    <row r="342" spans="17:18" hidden="1">
      <c r="Q342" s="28"/>
      <c r="R342"/>
    </row>
    <row r="343" spans="17:18" hidden="1">
      <c r="Q343" s="28"/>
      <c r="R343"/>
    </row>
    <row r="344" spans="17:18" hidden="1">
      <c r="Q344" s="28"/>
      <c r="R344"/>
    </row>
    <row r="345" spans="17:18" hidden="1">
      <c r="Q345" s="28"/>
      <c r="R345"/>
    </row>
    <row r="346" spans="17:18" hidden="1">
      <c r="Q346" s="28"/>
      <c r="R346"/>
    </row>
    <row r="347" spans="17:18" hidden="1">
      <c r="Q347" s="28"/>
      <c r="R347"/>
    </row>
    <row r="348" spans="17:18" hidden="1">
      <c r="Q348" s="28"/>
      <c r="R348"/>
    </row>
    <row r="349" spans="17:18" hidden="1">
      <c r="Q349" s="28"/>
      <c r="R349"/>
    </row>
    <row r="350" spans="17:18" hidden="1">
      <c r="Q350" s="28"/>
      <c r="R350"/>
    </row>
    <row r="351" spans="17:18" hidden="1">
      <c r="Q351" s="28"/>
      <c r="R351"/>
    </row>
    <row r="352" spans="17:18" hidden="1">
      <c r="Q352" s="28"/>
      <c r="R352"/>
    </row>
    <row r="353" spans="17:18" hidden="1">
      <c r="Q353" s="28"/>
      <c r="R353"/>
    </row>
    <row r="354" spans="17:18" hidden="1">
      <c r="Q354" s="28"/>
      <c r="R354"/>
    </row>
    <row r="355" spans="17:18" hidden="1">
      <c r="Q355" s="28"/>
      <c r="R355"/>
    </row>
    <row r="356" spans="17:18" hidden="1">
      <c r="Q356" s="28"/>
      <c r="R356"/>
    </row>
    <row r="357" spans="17:18" hidden="1">
      <c r="Q357" s="28"/>
      <c r="R357"/>
    </row>
    <row r="358" spans="17:18" hidden="1">
      <c r="Q358" s="28"/>
      <c r="R358"/>
    </row>
    <row r="359" spans="17:18" hidden="1">
      <c r="Q359" s="28"/>
      <c r="R359"/>
    </row>
    <row r="360" spans="17:18" hidden="1">
      <c r="Q360" s="28"/>
      <c r="R360"/>
    </row>
    <row r="361" spans="17:18" hidden="1">
      <c r="Q361" s="28"/>
      <c r="R361"/>
    </row>
    <row r="362" spans="17:18" hidden="1">
      <c r="Q362" s="28"/>
      <c r="R362"/>
    </row>
    <row r="363" spans="17:18" hidden="1">
      <c r="Q363" s="28"/>
      <c r="R363"/>
    </row>
    <row r="364" spans="17:18" hidden="1">
      <c r="Q364" s="28"/>
      <c r="R364"/>
    </row>
    <row r="365" spans="17:18" hidden="1">
      <c r="Q365" s="28"/>
      <c r="R365"/>
    </row>
    <row r="366" spans="17:18" hidden="1">
      <c r="Q366" s="28"/>
      <c r="R366"/>
    </row>
    <row r="367" spans="17:18" hidden="1">
      <c r="Q367" s="28"/>
      <c r="R367"/>
    </row>
  </sheetData>
  <mergeCells count="1">
    <mergeCell ref="A1:B1"/>
  </mergeCells>
  <conditionalFormatting sqref="B8:C65">
    <cfRule type="expression" dxfId="53" priority="3">
      <formula>B8&lt;0</formula>
    </cfRule>
  </conditionalFormatting>
  <conditionalFormatting sqref="B7:H7 E8:G65 D8:D66 H8:H66">
    <cfRule type="expression" dxfId="52" priority="9">
      <formula>B7&lt;0</formula>
    </cfRule>
  </conditionalFormatting>
  <conditionalFormatting sqref="I7:J65">
    <cfRule type="expression" dxfId="51" priority="2">
      <formula>I7&lt;0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>
    <tabColor theme="9" tint="-0.249977111117893"/>
  </sheetPr>
  <dimension ref="A1:U32"/>
  <sheetViews>
    <sheetView showGridLines="0" zoomScale="80" zoomScaleNormal="80" workbookViewId="0">
      <selection activeCell="B2" sqref="B2:B3"/>
    </sheetView>
  </sheetViews>
  <sheetFormatPr defaultColWidth="0" defaultRowHeight="15" zeroHeight="1"/>
  <cols>
    <col min="1" max="1" width="2.85546875" customWidth="1"/>
    <col min="2" max="2" width="39" customWidth="1"/>
    <col min="3" max="3" width="10.42578125" bestFit="1" customWidth="1"/>
    <col min="4" max="8" width="15.5703125" customWidth="1"/>
    <col min="9" max="9" width="19" customWidth="1"/>
    <col min="10" max="14" width="15.5703125" customWidth="1"/>
    <col min="15" max="15" width="12.140625" customWidth="1"/>
    <col min="16" max="18" width="12.140625" hidden="1" customWidth="1"/>
    <col min="19" max="19" width="17.5703125" hidden="1" customWidth="1"/>
    <col min="20" max="21" width="0" hidden="1" customWidth="1"/>
    <col min="22" max="16384" width="8.7109375" hidden="1"/>
  </cols>
  <sheetData>
    <row r="1" spans="1:21">
      <c r="A1" s="601"/>
      <c r="B1" s="601"/>
    </row>
    <row r="2" spans="1:21">
      <c r="A2" s="4"/>
      <c r="B2" s="588" t="s">
        <v>643</v>
      </c>
      <c r="M2" s="29" t="s">
        <v>633</v>
      </c>
      <c r="N2" s="427">
        <f>IPCA!C376</f>
        <v>7331.98</v>
      </c>
    </row>
    <row r="3" spans="1:21">
      <c r="A3" s="5"/>
      <c r="B3" s="588" t="s">
        <v>644</v>
      </c>
      <c r="M3" s="30" t="s">
        <v>48</v>
      </c>
      <c r="N3" s="30"/>
      <c r="U3" s="31"/>
    </row>
    <row r="4" spans="1:21">
      <c r="D4" s="211"/>
      <c r="E4" s="211"/>
      <c r="F4" s="211"/>
      <c r="G4" s="211"/>
      <c r="N4" s="211"/>
    </row>
    <row r="5" spans="1:21">
      <c r="B5" s="2"/>
      <c r="D5" s="625" t="s">
        <v>141</v>
      </c>
      <c r="E5" s="625"/>
      <c r="F5" s="625"/>
      <c r="G5" s="625"/>
      <c r="H5" s="617"/>
      <c r="I5" s="616" t="s">
        <v>140</v>
      </c>
      <c r="J5" s="625"/>
      <c r="K5" s="625"/>
      <c r="L5" s="625"/>
      <c r="M5" s="625"/>
      <c r="N5" s="625"/>
      <c r="U5" s="31"/>
    </row>
    <row r="6" spans="1:21">
      <c r="B6" s="32" t="s">
        <v>139</v>
      </c>
      <c r="C6" s="32" t="s">
        <v>49</v>
      </c>
      <c r="D6" s="29">
        <v>2021</v>
      </c>
      <c r="E6" s="29">
        <v>2022</v>
      </c>
      <c r="F6" s="29">
        <v>2023</v>
      </c>
      <c r="G6" s="29">
        <v>2024</v>
      </c>
      <c r="H6" s="29" t="s">
        <v>138</v>
      </c>
      <c r="I6" s="29" t="s">
        <v>137</v>
      </c>
      <c r="J6" s="29">
        <v>2021</v>
      </c>
      <c r="K6" s="29">
        <v>2022</v>
      </c>
      <c r="L6" s="29">
        <v>2023</v>
      </c>
      <c r="M6" s="29">
        <v>2024</v>
      </c>
      <c r="N6" s="29" t="s">
        <v>136</v>
      </c>
    </row>
    <row r="7" spans="1:21">
      <c r="B7" s="117" t="s">
        <v>135</v>
      </c>
      <c r="C7" s="34" t="s">
        <v>17</v>
      </c>
      <c r="D7" s="224">
        <f>SUM(D8:D13)</f>
        <v>43656603.753497586</v>
      </c>
      <c r="E7" s="224">
        <f>SUM(E8:E13)</f>
        <v>43359072.638286158</v>
      </c>
      <c r="F7" s="224">
        <f>SUM(F8:F13)</f>
        <v>42924074.124527618</v>
      </c>
      <c r="G7" s="224">
        <f>SUM(G8:G13)</f>
        <v>45121115.469352663</v>
      </c>
      <c r="H7" s="224">
        <f>SUM(H8:H13)</f>
        <v>43765216.49641601</v>
      </c>
      <c r="I7" s="215"/>
      <c r="J7" s="224">
        <f t="shared" ref="J7:M7" si="0">SUM(J8:J13)</f>
        <v>19802456.876939073</v>
      </c>
      <c r="K7" s="224">
        <f t="shared" si="0"/>
        <v>19278631.033833977</v>
      </c>
      <c r="L7" s="224">
        <f t="shared" si="0"/>
        <v>18339796.20131192</v>
      </c>
      <c r="M7" s="224">
        <f t="shared" si="0"/>
        <v>19479402.460377842</v>
      </c>
      <c r="N7" s="224">
        <f>SUM(N8:N13)</f>
        <v>19225071.643115703</v>
      </c>
    </row>
    <row r="8" spans="1:21">
      <c r="B8" s="33" t="s">
        <v>134</v>
      </c>
      <c r="C8" s="34" t="s">
        <v>17</v>
      </c>
      <c r="D8" s="215">
        <f>'BD Outras Receitas'!D8*'Outras Receitas'!$N$2/'Outras Receitas'!D$26</f>
        <v>8111254.6132372553</v>
      </c>
      <c r="E8" s="215">
        <f>'BD Outras Receitas'!E8*'Outras Receitas'!$N$2/'Outras Receitas'!E$26</f>
        <v>7850947.8512587268</v>
      </c>
      <c r="F8" s="215">
        <f>'BD Outras Receitas'!F8*'Outras Receitas'!$N$2/'Outras Receitas'!F$26</f>
        <v>8010320.98076839</v>
      </c>
      <c r="G8" s="215">
        <f>'BD Outras Receitas'!G8*'Outras Receitas'!$N$2/'Outras Receitas'!G$26</f>
        <v>8420324.1488975603</v>
      </c>
      <c r="H8" s="215">
        <f t="shared" ref="H8:H13" si="1">AVERAGE(D8:G8)</f>
        <v>8098211.8985404838</v>
      </c>
      <c r="I8" s="426">
        <v>0.75</v>
      </c>
      <c r="J8" s="215">
        <f t="shared" ref="J8:M13" si="2">D8*$I8</f>
        <v>6083440.9599279417</v>
      </c>
      <c r="K8" s="215">
        <f t="shared" si="2"/>
        <v>5888210.8884440456</v>
      </c>
      <c r="L8" s="215">
        <f t="shared" si="2"/>
        <v>6007740.7355762925</v>
      </c>
      <c r="M8" s="215">
        <f t="shared" si="2"/>
        <v>6315243.1116731707</v>
      </c>
      <c r="N8" s="215">
        <f t="shared" ref="N8:N13" si="3">AVERAGE(J8:M8)</f>
        <v>6073658.9239053614</v>
      </c>
    </row>
    <row r="9" spans="1:21">
      <c r="B9" s="33" t="s">
        <v>43</v>
      </c>
      <c r="C9" s="34" t="s">
        <v>17</v>
      </c>
      <c r="D9" s="215">
        <f>'BD Outras Receitas'!D9*'Outras Receitas'!$N$2/'Outras Receitas'!D$26</f>
        <v>17472.443040144692</v>
      </c>
      <c r="E9" s="215">
        <f>'BD Outras Receitas'!E9*'Outras Receitas'!$N$2/'Outras Receitas'!E$26</f>
        <v>7946.2898264234409</v>
      </c>
      <c r="F9" s="215">
        <f>'BD Outras Receitas'!F9*'Outras Receitas'!$N$2/'Outras Receitas'!F$26</f>
        <v>12513.618774302058</v>
      </c>
      <c r="G9" s="215">
        <f>'BD Outras Receitas'!G9*'Outras Receitas'!$N$2/'Outras Receitas'!G$26</f>
        <v>13154.120366503215</v>
      </c>
      <c r="H9" s="215">
        <f t="shared" si="1"/>
        <v>12771.618001843352</v>
      </c>
      <c r="I9" s="426">
        <v>1</v>
      </c>
      <c r="J9" s="215">
        <f t="shared" si="2"/>
        <v>17472.443040144692</v>
      </c>
      <c r="K9" s="215">
        <f t="shared" si="2"/>
        <v>7946.2898264234409</v>
      </c>
      <c r="L9" s="215">
        <f t="shared" si="2"/>
        <v>12513.618774302058</v>
      </c>
      <c r="M9" s="215">
        <f t="shared" si="2"/>
        <v>13154.120366503215</v>
      </c>
      <c r="N9" s="215">
        <f t="shared" si="3"/>
        <v>12771.618001843352</v>
      </c>
    </row>
    <row r="10" spans="1:21">
      <c r="B10" s="33" t="s">
        <v>44</v>
      </c>
      <c r="C10" s="34" t="s">
        <v>17</v>
      </c>
      <c r="D10" s="215">
        <f>'BD Outras Receitas'!D10*'Outras Receitas'!$N$2/'Outras Receitas'!D$26</f>
        <v>17609440.441670101</v>
      </c>
      <c r="E10" s="215">
        <f>'BD Outras Receitas'!E10*'Outras Receitas'!$N$2/'Outras Receitas'!E$26</f>
        <v>18538890.049430862</v>
      </c>
      <c r="F10" s="215">
        <f>'BD Outras Receitas'!F10*'Outras Receitas'!$N$2/'Outras Receitas'!F$26</f>
        <v>18959534.671394039</v>
      </c>
      <c r="G10" s="215">
        <f>'BD Outras Receitas'!G10*'Outras Receitas'!$N$2/'Outras Receitas'!G$26</f>
        <v>19929966.355740935</v>
      </c>
      <c r="H10" s="215">
        <f t="shared" si="1"/>
        <v>18759457.879558984</v>
      </c>
      <c r="I10" s="426">
        <v>0</v>
      </c>
      <c r="J10" s="215">
        <f t="shared" si="2"/>
        <v>0</v>
      </c>
      <c r="K10" s="215">
        <f t="shared" si="2"/>
        <v>0</v>
      </c>
      <c r="L10" s="215">
        <f t="shared" si="2"/>
        <v>0</v>
      </c>
      <c r="M10" s="215">
        <f t="shared" si="2"/>
        <v>0</v>
      </c>
      <c r="N10" s="215">
        <f t="shared" si="3"/>
        <v>0</v>
      </c>
    </row>
    <row r="11" spans="1:21">
      <c r="B11" s="33" t="s">
        <v>3</v>
      </c>
      <c r="C11" s="34" t="s">
        <v>17</v>
      </c>
      <c r="D11" s="215">
        <f>'BD Outras Receitas'!D11*'Outras Receitas'!$N$2/'Outras Receitas'!D$26</f>
        <v>264976.27358876885</v>
      </c>
      <c r="E11" s="215">
        <f>'BD Outras Receitas'!E11*'Outras Receitas'!$N$2/'Outras Receitas'!E$26</f>
        <v>256277.12368546877</v>
      </c>
      <c r="F11" s="215">
        <f>'BD Outras Receitas'!F11*'Outras Receitas'!$N$2/'Outras Receitas'!F$26</f>
        <v>211806.20764245038</v>
      </c>
      <c r="G11" s="215">
        <f>'BD Outras Receitas'!G11*'Outras Receitas'!$N$2/'Outras Receitas'!G$26</f>
        <v>222647.3732301119</v>
      </c>
      <c r="H11" s="215">
        <f t="shared" si="1"/>
        <v>238926.74453669996</v>
      </c>
      <c r="I11" s="426">
        <v>0</v>
      </c>
      <c r="J11" s="215">
        <f t="shared" si="2"/>
        <v>0</v>
      </c>
      <c r="K11" s="215">
        <f t="shared" si="2"/>
        <v>0</v>
      </c>
      <c r="L11" s="215">
        <f t="shared" si="2"/>
        <v>0</v>
      </c>
      <c r="M11" s="215">
        <f t="shared" si="2"/>
        <v>0</v>
      </c>
      <c r="N11" s="215">
        <f t="shared" si="3"/>
        <v>0</v>
      </c>
    </row>
    <row r="12" spans="1:21">
      <c r="B12" s="33" t="s">
        <v>158</v>
      </c>
      <c r="C12" s="34" t="s">
        <v>17</v>
      </c>
      <c r="D12" s="215">
        <f>'BD Outras Receitas'!E33</f>
        <v>1845793.9500000002</v>
      </c>
      <c r="E12" s="215">
        <f>'BD Outras Receitas'!F33</f>
        <v>3414861.45</v>
      </c>
      <c r="F12" s="215">
        <f>'BD Outras Receitas'!G33</f>
        <v>2088471.4499999785</v>
      </c>
      <c r="G12" s="215">
        <f>'BD Outras Receitas'!H33</f>
        <v>2998950.5000000405</v>
      </c>
      <c r="H12" s="215">
        <f t="shared" si="1"/>
        <v>2587019.337500005</v>
      </c>
      <c r="I12" s="426">
        <v>1</v>
      </c>
      <c r="J12" s="215">
        <f t="shared" si="2"/>
        <v>1845793.9500000002</v>
      </c>
      <c r="K12" s="215">
        <f t="shared" si="2"/>
        <v>3414861.45</v>
      </c>
      <c r="L12" s="215">
        <f t="shared" si="2"/>
        <v>2088471.4499999785</v>
      </c>
      <c r="M12" s="215">
        <f t="shared" si="2"/>
        <v>2998950.5000000405</v>
      </c>
      <c r="N12" s="215">
        <f t="shared" si="3"/>
        <v>2587019.337500005</v>
      </c>
    </row>
    <row r="13" spans="1:21">
      <c r="B13" s="33" t="s">
        <v>133</v>
      </c>
      <c r="C13" s="34" t="s">
        <v>17</v>
      </c>
      <c r="D13" s="215">
        <f>'BD Outras Receitas'!D13*'Outras Receitas'!$N$2/'Outras Receitas'!D$26-D12</f>
        <v>15807666.031961314</v>
      </c>
      <c r="E13" s="215">
        <f>'BD Outras Receitas'!E13*'Outras Receitas'!$N$2/'Outras Receitas'!E$26-E12</f>
        <v>13290149.874084678</v>
      </c>
      <c r="F13" s="215">
        <f>'BD Outras Receitas'!F13*'Outras Receitas'!$N$2/'Outras Receitas'!F$26-F12</f>
        <v>13641427.195948463</v>
      </c>
      <c r="G13" s="215">
        <f>'BD Outras Receitas'!G13*'Outras Receitas'!$N$2/'Outras Receitas'!G$26-G12</f>
        <v>13536072.971117508</v>
      </c>
      <c r="H13" s="215">
        <f t="shared" si="1"/>
        <v>14068829.018277992</v>
      </c>
      <c r="I13" s="426">
        <v>0.75</v>
      </c>
      <c r="J13" s="215">
        <f t="shared" si="2"/>
        <v>11855749.523970986</v>
      </c>
      <c r="K13" s="215">
        <f t="shared" si="2"/>
        <v>9967612.4055635072</v>
      </c>
      <c r="L13" s="215">
        <f t="shared" si="2"/>
        <v>10231070.396961346</v>
      </c>
      <c r="M13" s="215">
        <f t="shared" si="2"/>
        <v>10152054.72833813</v>
      </c>
      <c r="N13" s="215">
        <f t="shared" si="3"/>
        <v>10551621.763708493</v>
      </c>
    </row>
    <row r="14" spans="1:21">
      <c r="B14" s="117" t="s">
        <v>132</v>
      </c>
      <c r="C14" s="34" t="s">
        <v>17</v>
      </c>
      <c r="D14" s="224">
        <f>SUM(D15:D22)</f>
        <v>0</v>
      </c>
      <c r="E14" s="224">
        <f>SUM(E15:E22)</f>
        <v>0</v>
      </c>
      <c r="F14" s="224">
        <f>SUM(F15:F22)</f>
        <v>0</v>
      </c>
      <c r="G14" s="224">
        <f>SUM(G15:G22)</f>
        <v>0</v>
      </c>
      <c r="H14" s="224">
        <f>SUM(H15:H22)</f>
        <v>0</v>
      </c>
      <c r="I14" s="424"/>
      <c r="J14" s="224">
        <f t="shared" ref="J14:M14" si="4">SUM(J15:J22)</f>
        <v>0</v>
      </c>
      <c r="K14" s="224">
        <f t="shared" si="4"/>
        <v>0</v>
      </c>
      <c r="L14" s="224">
        <f t="shared" si="4"/>
        <v>0</v>
      </c>
      <c r="M14" s="224">
        <f t="shared" si="4"/>
        <v>0</v>
      </c>
      <c r="N14" s="224">
        <f>SUM(N15:N22)</f>
        <v>0</v>
      </c>
    </row>
    <row r="15" spans="1:21">
      <c r="B15" s="33" t="s">
        <v>131</v>
      </c>
      <c r="C15" s="34" t="s">
        <v>17</v>
      </c>
      <c r="D15" s="215">
        <f>'BD Outras Receitas'!D17*'Outras Receitas'!$N$2/'Outras Receitas'!D$26</f>
        <v>0</v>
      </c>
      <c r="E15" s="215">
        <f>'BD Outras Receitas'!E17*'Outras Receitas'!$N$2/'Outras Receitas'!E$26</f>
        <v>0</v>
      </c>
      <c r="F15" s="215">
        <f>'BD Outras Receitas'!F17*'Outras Receitas'!$N$2/'Outras Receitas'!F$26</f>
        <v>0</v>
      </c>
      <c r="G15" s="215">
        <f>'BD Outras Receitas'!G17*'Outras Receitas'!$N$2/'Outras Receitas'!G$26</f>
        <v>0</v>
      </c>
      <c r="H15" s="215">
        <f t="shared" ref="H15:H23" si="5">AVERAGE(D15:G15)</f>
        <v>0</v>
      </c>
      <c r="I15" s="426">
        <v>1</v>
      </c>
      <c r="J15" s="215">
        <f t="shared" ref="J15:M22" si="6">D15*$I15</f>
        <v>0</v>
      </c>
      <c r="K15" s="215">
        <f t="shared" si="6"/>
        <v>0</v>
      </c>
      <c r="L15" s="215">
        <f t="shared" si="6"/>
        <v>0</v>
      </c>
      <c r="M15" s="215">
        <f t="shared" si="6"/>
        <v>0</v>
      </c>
      <c r="N15" s="215">
        <f t="shared" ref="N15:N23" si="7">AVERAGE(J15:M15)</f>
        <v>0</v>
      </c>
    </row>
    <row r="16" spans="1:21">
      <c r="B16" s="33" t="s">
        <v>130</v>
      </c>
      <c r="C16" s="34" t="s">
        <v>17</v>
      </c>
      <c r="D16" s="215">
        <f>'BD Outras Receitas'!D18*'Outras Receitas'!$N$2/'Outras Receitas'!D$26</f>
        <v>0</v>
      </c>
      <c r="E16" s="215">
        <f>'BD Outras Receitas'!E18*'Outras Receitas'!$N$2/'Outras Receitas'!E$26</f>
        <v>0</v>
      </c>
      <c r="F16" s="215">
        <f>'BD Outras Receitas'!F18*'Outras Receitas'!$N$2/'Outras Receitas'!F$26</f>
        <v>0</v>
      </c>
      <c r="G16" s="215">
        <f>'BD Outras Receitas'!G18*'Outras Receitas'!$N$2/'Outras Receitas'!G$26</f>
        <v>0</v>
      </c>
      <c r="H16" s="215">
        <f t="shared" si="5"/>
        <v>0</v>
      </c>
      <c r="I16" s="426">
        <v>0.75</v>
      </c>
      <c r="J16" s="215">
        <f t="shared" si="6"/>
        <v>0</v>
      </c>
      <c r="K16" s="215">
        <f t="shared" si="6"/>
        <v>0</v>
      </c>
      <c r="L16" s="215">
        <f t="shared" si="6"/>
        <v>0</v>
      </c>
      <c r="M16" s="215">
        <f t="shared" si="6"/>
        <v>0</v>
      </c>
      <c r="N16" s="215">
        <f t="shared" si="7"/>
        <v>0</v>
      </c>
    </row>
    <row r="17" spans="2:14">
      <c r="B17" s="33" t="s">
        <v>129</v>
      </c>
      <c r="C17" s="34" t="s">
        <v>17</v>
      </c>
      <c r="D17" s="215">
        <f>'BD Outras Receitas'!D19*'Outras Receitas'!$N$2/'Outras Receitas'!D$26</f>
        <v>0</v>
      </c>
      <c r="E17" s="215">
        <f>'BD Outras Receitas'!E19*'Outras Receitas'!$N$2/'Outras Receitas'!E$26</f>
        <v>0</v>
      </c>
      <c r="F17" s="215">
        <f>'BD Outras Receitas'!F19*'Outras Receitas'!$N$2/'Outras Receitas'!F$26</f>
        <v>0</v>
      </c>
      <c r="G17" s="215">
        <f>'BD Outras Receitas'!G19*'Outras Receitas'!$N$2/'Outras Receitas'!G$26</f>
        <v>0</v>
      </c>
      <c r="H17" s="215">
        <f t="shared" si="5"/>
        <v>0</v>
      </c>
      <c r="I17" s="426">
        <v>1</v>
      </c>
      <c r="J17" s="215">
        <f t="shared" si="6"/>
        <v>0</v>
      </c>
      <c r="K17" s="215">
        <f t="shared" si="6"/>
        <v>0</v>
      </c>
      <c r="L17" s="215">
        <f t="shared" si="6"/>
        <v>0</v>
      </c>
      <c r="M17" s="215">
        <f t="shared" si="6"/>
        <v>0</v>
      </c>
      <c r="N17" s="215">
        <f t="shared" si="7"/>
        <v>0</v>
      </c>
    </row>
    <row r="18" spans="2:14">
      <c r="B18" s="33" t="s">
        <v>128</v>
      </c>
      <c r="C18" s="34" t="s">
        <v>17</v>
      </c>
      <c r="D18" s="215">
        <f>'BD Outras Receitas'!D20*'Outras Receitas'!$N$2/'Outras Receitas'!D$26</f>
        <v>0</v>
      </c>
      <c r="E18" s="215">
        <f>'BD Outras Receitas'!E20*'Outras Receitas'!$N$2/'Outras Receitas'!E$26</f>
        <v>0</v>
      </c>
      <c r="F18" s="215">
        <f>'BD Outras Receitas'!F20*'Outras Receitas'!$N$2/'Outras Receitas'!F$26</f>
        <v>0</v>
      </c>
      <c r="G18" s="215">
        <f>'BD Outras Receitas'!G20*'Outras Receitas'!$N$2/'Outras Receitas'!G$26</f>
        <v>0</v>
      </c>
      <c r="H18" s="215">
        <f t="shared" si="5"/>
        <v>0</v>
      </c>
      <c r="I18" s="426">
        <v>0.5</v>
      </c>
      <c r="J18" s="215">
        <f t="shared" si="6"/>
        <v>0</v>
      </c>
      <c r="K18" s="215">
        <f t="shared" si="6"/>
        <v>0</v>
      </c>
      <c r="L18" s="215">
        <f t="shared" si="6"/>
        <v>0</v>
      </c>
      <c r="M18" s="215">
        <f t="shared" si="6"/>
        <v>0</v>
      </c>
      <c r="N18" s="215">
        <f t="shared" si="7"/>
        <v>0</v>
      </c>
    </row>
    <row r="19" spans="2:14">
      <c r="B19" s="33" t="s">
        <v>127</v>
      </c>
      <c r="C19" s="34" t="s">
        <v>17</v>
      </c>
      <c r="D19" s="215">
        <f>'BD Outras Receitas'!D21*'Outras Receitas'!$N$2/'Outras Receitas'!D$26</f>
        <v>0</v>
      </c>
      <c r="E19" s="215">
        <f>'BD Outras Receitas'!E21*'Outras Receitas'!$N$2/'Outras Receitas'!E$26</f>
        <v>0</v>
      </c>
      <c r="F19" s="215">
        <f>'BD Outras Receitas'!F21*'Outras Receitas'!$N$2/'Outras Receitas'!F$26</f>
        <v>0</v>
      </c>
      <c r="G19" s="215">
        <f>'BD Outras Receitas'!G21*'Outras Receitas'!$N$2/'Outras Receitas'!G$26</f>
        <v>0</v>
      </c>
      <c r="H19" s="215">
        <f t="shared" si="5"/>
        <v>0</v>
      </c>
      <c r="I19" s="426">
        <v>0</v>
      </c>
      <c r="J19" s="215">
        <f t="shared" si="6"/>
        <v>0</v>
      </c>
      <c r="K19" s="215">
        <f t="shared" si="6"/>
        <v>0</v>
      </c>
      <c r="L19" s="215">
        <f t="shared" si="6"/>
        <v>0</v>
      </c>
      <c r="M19" s="215">
        <f t="shared" si="6"/>
        <v>0</v>
      </c>
      <c r="N19" s="215">
        <f t="shared" si="7"/>
        <v>0</v>
      </c>
    </row>
    <row r="20" spans="2:14">
      <c r="B20" s="33" t="s">
        <v>126</v>
      </c>
      <c r="C20" s="34" t="s">
        <v>17</v>
      </c>
      <c r="D20" s="215">
        <f>'BD Outras Receitas'!D22*'Outras Receitas'!$N$2/'Outras Receitas'!D$26</f>
        <v>0</v>
      </c>
      <c r="E20" s="215">
        <f>'BD Outras Receitas'!E22*'Outras Receitas'!$N$2/'Outras Receitas'!E$26</f>
        <v>0</v>
      </c>
      <c r="F20" s="215">
        <f>'BD Outras Receitas'!F22*'Outras Receitas'!$N$2/'Outras Receitas'!F$26</f>
        <v>0</v>
      </c>
      <c r="G20" s="215">
        <f>'BD Outras Receitas'!G22*'Outras Receitas'!$N$2/'Outras Receitas'!G$26</f>
        <v>0</v>
      </c>
      <c r="H20" s="215">
        <f t="shared" si="5"/>
        <v>0</v>
      </c>
      <c r="I20" s="426">
        <v>0</v>
      </c>
      <c r="J20" s="215">
        <f t="shared" si="6"/>
        <v>0</v>
      </c>
      <c r="K20" s="215">
        <f t="shared" si="6"/>
        <v>0</v>
      </c>
      <c r="L20" s="215">
        <f t="shared" si="6"/>
        <v>0</v>
      </c>
      <c r="M20" s="215">
        <f t="shared" si="6"/>
        <v>0</v>
      </c>
      <c r="N20" s="215">
        <f t="shared" si="7"/>
        <v>0</v>
      </c>
    </row>
    <row r="21" spans="2:14">
      <c r="B21" s="33" t="s">
        <v>125</v>
      </c>
      <c r="C21" s="34" t="s">
        <v>17</v>
      </c>
      <c r="D21" s="215">
        <f>'BD Outras Receitas'!D23*'Outras Receitas'!$N$2/'Outras Receitas'!D$26</f>
        <v>0</v>
      </c>
      <c r="E21" s="215">
        <f>'BD Outras Receitas'!E23*'Outras Receitas'!$N$2/'Outras Receitas'!E$26</f>
        <v>0</v>
      </c>
      <c r="F21" s="215">
        <f>'BD Outras Receitas'!F23*'Outras Receitas'!$N$2/'Outras Receitas'!F$26</f>
        <v>0</v>
      </c>
      <c r="G21" s="215">
        <f>'BD Outras Receitas'!G23*'Outras Receitas'!$N$2/'Outras Receitas'!G$26</f>
        <v>0</v>
      </c>
      <c r="H21" s="215">
        <f t="shared" si="5"/>
        <v>0</v>
      </c>
      <c r="I21" s="426">
        <v>0</v>
      </c>
      <c r="J21" s="215">
        <f t="shared" si="6"/>
        <v>0</v>
      </c>
      <c r="K21" s="215">
        <f t="shared" si="6"/>
        <v>0</v>
      </c>
      <c r="L21" s="215">
        <f t="shared" si="6"/>
        <v>0</v>
      </c>
      <c r="M21" s="215">
        <f t="shared" si="6"/>
        <v>0</v>
      </c>
      <c r="N21" s="215">
        <f t="shared" si="7"/>
        <v>0</v>
      </c>
    </row>
    <row r="22" spans="2:14">
      <c r="B22" s="33" t="s">
        <v>124</v>
      </c>
      <c r="C22" s="34" t="s">
        <v>17</v>
      </c>
      <c r="D22" s="215">
        <f>'BD Outras Receitas'!D24*'Outras Receitas'!$N$2/'Outras Receitas'!D$26</f>
        <v>0</v>
      </c>
      <c r="E22" s="215">
        <f>'BD Outras Receitas'!E24*'Outras Receitas'!$N$2/'Outras Receitas'!E$26</f>
        <v>0</v>
      </c>
      <c r="F22" s="215">
        <f>'BD Outras Receitas'!F24*'Outras Receitas'!$N$2/'Outras Receitas'!F$26</f>
        <v>0</v>
      </c>
      <c r="G22" s="215">
        <f>'BD Outras Receitas'!G24*'Outras Receitas'!$N$2/'Outras Receitas'!G$26</f>
        <v>0</v>
      </c>
      <c r="H22" s="215">
        <f t="shared" si="5"/>
        <v>0</v>
      </c>
      <c r="I22" s="426">
        <v>0.5</v>
      </c>
      <c r="J22" s="215">
        <f t="shared" si="6"/>
        <v>0</v>
      </c>
      <c r="K22" s="215">
        <f t="shared" si="6"/>
        <v>0</v>
      </c>
      <c r="L22" s="215">
        <f t="shared" si="6"/>
        <v>0</v>
      </c>
      <c r="M22" s="215">
        <f t="shared" si="6"/>
        <v>0</v>
      </c>
      <c r="N22" s="215">
        <f t="shared" si="7"/>
        <v>0</v>
      </c>
    </row>
    <row r="23" spans="2:14">
      <c r="B23" s="240" t="s">
        <v>228</v>
      </c>
      <c r="C23" s="34" t="s">
        <v>17</v>
      </c>
      <c r="D23" s="224">
        <f>('Outras Receitas'!D7+'Outras Receitas'!D14)*HLOOKUP(D$6,'BD Outras Receitas'!$K$5:$N$9,5,FALSE)</f>
        <v>4012287.0002761893</v>
      </c>
      <c r="E23" s="224">
        <f>('Outras Receitas'!E7+'Outras Receitas'!E14)*HLOOKUP(E$6,'BD Outras Receitas'!$K$5:$N$9,5,FALSE)</f>
        <v>4004270.5871511796</v>
      </c>
      <c r="F23" s="224">
        <f>('Outras Receitas'!F7+'Outras Receitas'!F14)*HLOOKUP(F$6,'BD Outras Receitas'!$K$5:$N$9,5,FALSE)</f>
        <v>3970476.856518805</v>
      </c>
      <c r="G23" s="224">
        <f>('Outras Receitas'!G7+'Outras Receitas'!G14)*HLOOKUP(G$6,'BD Outras Receitas'!$K$5:$N$9,5,FALSE)</f>
        <v>4173703.1809151205</v>
      </c>
      <c r="H23" s="224">
        <f t="shared" si="5"/>
        <v>4040184.4062153236</v>
      </c>
      <c r="I23" s="225"/>
      <c r="J23" s="224">
        <f>('Outras Receitas'!J7+'Outras Receitas'!J14)*HLOOKUP(J$6,'BD Outras Receitas'!$K$5:$N$9,5,FALSE)</f>
        <v>1819956.9703015895</v>
      </c>
      <c r="K23" s="224">
        <f>('Outras Receitas'!K7+'Outras Receitas'!K14)*HLOOKUP(K$6,'BD Outras Receitas'!$K$5:$N$9,5,FALSE)</f>
        <v>1780408.3554396948</v>
      </c>
      <c r="L23" s="224">
        <f>('Outras Receitas'!L7+'Outras Receitas'!L14)*HLOOKUP(L$6,'BD Outras Receitas'!$K$5:$N$9,5,FALSE)</f>
        <v>1696431.1486213529</v>
      </c>
      <c r="M23" s="224">
        <f>('Outras Receitas'!M7+'Outras Receitas'!M14)*HLOOKUP(M$6,'BD Outras Receitas'!$K$5:$N$9,5,FALSE)</f>
        <v>1801844.7275849502</v>
      </c>
      <c r="N23" s="224">
        <f t="shared" si="7"/>
        <v>1774660.3004868971</v>
      </c>
    </row>
    <row r="24" spans="2:14">
      <c r="B24" s="116" t="s">
        <v>630</v>
      </c>
      <c r="C24" s="115" t="s">
        <v>17</v>
      </c>
      <c r="D24" s="226">
        <f>SUM(D7,D14)</f>
        <v>43656603.753497586</v>
      </c>
      <c r="E24" s="226">
        <f>SUM(E7,E14)</f>
        <v>43359072.638286158</v>
      </c>
      <c r="F24" s="226">
        <f>SUM(F7,F14)</f>
        <v>42924074.124527618</v>
      </c>
      <c r="G24" s="226">
        <f>SUM(G7,G14)</f>
        <v>45121115.469352663</v>
      </c>
      <c r="H24" s="226">
        <f>SUM(H7,H14)</f>
        <v>43765216.49641601</v>
      </c>
      <c r="I24" s="226"/>
      <c r="J24" s="226">
        <f>SUM(J7,J14)</f>
        <v>19802456.876939073</v>
      </c>
      <c r="K24" s="226">
        <f>SUM(K7,K14)</f>
        <v>19278631.033833977</v>
      </c>
      <c r="L24" s="226">
        <f>SUM(L7,L14)</f>
        <v>18339796.20131192</v>
      </c>
      <c r="M24" s="226">
        <f>SUM(M7,M14)</f>
        <v>19479402.460377842</v>
      </c>
      <c r="N24" s="226">
        <f>SUM(N7,N14)</f>
        <v>19225071.643115703</v>
      </c>
    </row>
    <row r="25" spans="2:14">
      <c r="B25" s="116" t="s">
        <v>631</v>
      </c>
      <c r="C25" s="115" t="s">
        <v>17</v>
      </c>
      <c r="D25" s="226">
        <f>SUM(D7,D14)-D23</f>
        <v>39644316.753221393</v>
      </c>
      <c r="E25" s="226">
        <f>SUM(E7,E14)-E23</f>
        <v>39354802.051134981</v>
      </c>
      <c r="F25" s="226">
        <f>SUM(F7,F14)-F23</f>
        <v>38953597.268008813</v>
      </c>
      <c r="G25" s="226">
        <f>SUM(G7,G14)-G23</f>
        <v>40947412.288437545</v>
      </c>
      <c r="H25" s="226">
        <f>SUM(H7,H14)-H23</f>
        <v>39725032.090200685</v>
      </c>
      <c r="I25" s="226"/>
      <c r="J25" s="226">
        <f>SUM(J7,J14)-J23</f>
        <v>17982499.906637482</v>
      </c>
      <c r="K25" s="226">
        <f>SUM(K7,K14)-K23</f>
        <v>17498222.67839428</v>
      </c>
      <c r="L25" s="226">
        <f>SUM(L7,L14)-L23</f>
        <v>16643365.052690567</v>
      </c>
      <c r="M25" s="226">
        <f>SUM(M7,M14)-M23</f>
        <v>17677557.732792892</v>
      </c>
      <c r="N25" s="226">
        <f>SUM(N7,N14)-N23</f>
        <v>17450411.342628807</v>
      </c>
    </row>
    <row r="26" spans="2:14" ht="14.1" customHeight="1">
      <c r="B26" s="33" t="s">
        <v>432</v>
      </c>
      <c r="C26" s="34" t="s">
        <v>0</v>
      </c>
      <c r="D26" s="36">
        <v>4832.2700000000004</v>
      </c>
      <c r="E26" s="36">
        <v>5044.46</v>
      </c>
      <c r="F26" s="36">
        <v>5214.2700000000004</v>
      </c>
      <c r="G26" s="36">
        <v>5325.46</v>
      </c>
      <c r="J26" s="281"/>
      <c r="K26" s="281"/>
      <c r="L26" s="281"/>
      <c r="M26" s="281"/>
    </row>
    <row r="27" spans="2:14">
      <c r="B27" s="626"/>
      <c r="C27" s="626"/>
      <c r="D27" s="626"/>
      <c r="E27" s="626"/>
      <c r="F27" s="626"/>
      <c r="G27" s="626"/>
      <c r="H27" s="626"/>
    </row>
    <row r="28" spans="2:14">
      <c r="C28" s="135"/>
      <c r="D28" s="277"/>
      <c r="E28" s="277"/>
      <c r="F28" s="277"/>
      <c r="G28" s="277"/>
      <c r="H28" s="277"/>
      <c r="I28" s="243" t="s">
        <v>632</v>
      </c>
      <c r="J28" s="244">
        <f>'BD Outras Receitas'!D37*'Outras Receitas'!$N$2/'Outras Receitas'!D$26</f>
        <v>1081175994.8512809</v>
      </c>
      <c r="K28" s="244">
        <f>'BD Outras Receitas'!E37*'Outras Receitas'!$N$2/'Outras Receitas'!E$26</f>
        <v>1073617067.2103654</v>
      </c>
      <c r="L28" s="244">
        <f>'BD Outras Receitas'!F37*'Outras Receitas'!$N$2/'Outras Receitas'!F$26</f>
        <v>1148083069.9630473</v>
      </c>
      <c r="M28" s="244">
        <f>'BD Outras Receitas'!G37*'Outras Receitas'!$N$2/'Outras Receitas'!G$26</f>
        <v>1214041288.0677943</v>
      </c>
      <c r="N28" s="241">
        <f>AVERAGE(J28:M28)</f>
        <v>1129229355.0231218</v>
      </c>
    </row>
    <row r="29" spans="2:14">
      <c r="C29" s="135"/>
      <c r="D29" s="277"/>
      <c r="E29" s="277"/>
      <c r="F29" s="277"/>
      <c r="G29" s="277"/>
      <c r="H29" s="277"/>
      <c r="I29" s="245" t="s">
        <v>123</v>
      </c>
      <c r="J29" s="246">
        <f t="shared" ref="J29:L29" si="8">J24/J28</f>
        <v>1.8315664583047796E-2</v>
      </c>
      <c r="K29" s="246">
        <f t="shared" si="8"/>
        <v>1.7956710658416263E-2</v>
      </c>
      <c r="L29" s="246">
        <f t="shared" si="8"/>
        <v>1.5974276322968696E-2</v>
      </c>
      <c r="M29" s="247">
        <f>M24/M28</f>
        <v>1.6045090600979691E-2</v>
      </c>
      <c r="N29" s="242">
        <f t="shared" ref="N29" si="9">N24/N28</f>
        <v>1.7024948525821891E-2</v>
      </c>
    </row>
    <row r="30" spans="2:14">
      <c r="C30" s="135"/>
      <c r="D30" s="135"/>
      <c r="E30" s="135"/>
      <c r="F30" s="135"/>
      <c r="G30" s="135"/>
      <c r="H30" s="135"/>
      <c r="I30" s="243" t="s">
        <v>342</v>
      </c>
      <c r="J30" s="244">
        <f>'BD Outras Receitas'!D38*'Outras Receitas'!$N$2/'Outras Receitas'!D$26</f>
        <v>974856338.60179973</v>
      </c>
      <c r="K30" s="244">
        <f>'BD Outras Receitas'!E38*'Outras Receitas'!$N$2/'Outras Receitas'!E$26</f>
        <v>972737469.59561944</v>
      </c>
      <c r="L30" s="244">
        <f>'BD Outras Receitas'!F38*'Outras Receitas'!$N$2/'Outras Receitas'!F$26</f>
        <v>1038989203.5864681</v>
      </c>
      <c r="M30" s="244">
        <f>'BD Outras Receitas'!G38*'Outras Receitas'!$N$2/'Outras Receitas'!G$26</f>
        <v>1098679898.7038863</v>
      </c>
      <c r="N30" s="241">
        <f>AVERAGE(J30:M30)</f>
        <v>1021315727.6219435</v>
      </c>
    </row>
    <row r="31" spans="2:14">
      <c r="D31" s="140"/>
      <c r="E31" s="140"/>
      <c r="F31" s="140"/>
      <c r="G31" s="140"/>
      <c r="H31" s="140"/>
      <c r="I31" s="245" t="s">
        <v>123</v>
      </c>
      <c r="J31" s="246">
        <f>J25/J30</f>
        <v>1.8446307619468437E-2</v>
      </c>
      <c r="K31" s="246">
        <f>K25/K30</f>
        <v>1.7988638481941623E-2</v>
      </c>
      <c r="L31" s="246">
        <f>L25/L30</f>
        <v>1.6018804618218974E-2</v>
      </c>
      <c r="M31" s="247">
        <f>M25/M30</f>
        <v>1.6089816291029919E-2</v>
      </c>
      <c r="N31" s="242">
        <f t="shared" ref="N31" si="10">N25/N30</f>
        <v>1.7086206420477604E-2</v>
      </c>
    </row>
    <row r="32" spans="2:14">
      <c r="D32" s="140"/>
      <c r="E32" s="140"/>
      <c r="F32" s="140"/>
      <c r="G32" s="140"/>
      <c r="H32" s="140"/>
    </row>
  </sheetData>
  <sheetProtection algorithmName="SHA-512" hashValue="KVSya7qyksXavAB9GFxsn/12lpAPuuv+c2vFRBRC2Bxsp4/xeGcyngIqdD8NomE6HmatJghYnAOPNgyxxRSG6g==" saltValue="1iO0i7+Lk+06RRaqNixABA==" spinCount="100000" sheet="1" objects="1" scenarios="1" selectLockedCells="1" selectUnlockedCells="1"/>
  <mergeCells count="4">
    <mergeCell ref="A1:B1"/>
    <mergeCell ref="D5:H5"/>
    <mergeCell ref="I5:N5"/>
    <mergeCell ref="B27:H27"/>
  </mergeCells>
  <conditionalFormatting sqref="D24:H25">
    <cfRule type="expression" dxfId="50" priority="11">
      <formula>D24&lt;0</formula>
    </cfRule>
  </conditionalFormatting>
  <conditionalFormatting sqref="D29:H29">
    <cfRule type="expression" dxfId="49" priority="29">
      <formula>D29&lt;0</formula>
    </cfRule>
  </conditionalFormatting>
  <conditionalFormatting sqref="D7:I25">
    <cfRule type="expression" dxfId="48" priority="10">
      <formula>D7&lt;0</formula>
    </cfRule>
  </conditionalFormatting>
  <conditionalFormatting sqref="J7:M23">
    <cfRule type="expression" dxfId="47" priority="20">
      <formula>J7&lt;0</formula>
    </cfRule>
  </conditionalFormatting>
  <conditionalFormatting sqref="J24:N25">
    <cfRule type="expression" dxfId="46" priority="5">
      <formula>J24&lt;0</formula>
    </cfRule>
  </conditionalFormatting>
  <conditionalFormatting sqref="J29:N31">
    <cfRule type="expression" dxfId="45" priority="1">
      <formula>J29&lt;0</formula>
    </cfRule>
  </conditionalFormatting>
  <conditionalFormatting sqref="J28:S28">
    <cfRule type="expression" dxfId="44" priority="2">
      <formula>J28&lt;0</formula>
    </cfRule>
  </conditionalFormatting>
  <conditionalFormatting sqref="K23:N23">
    <cfRule type="expression" dxfId="43" priority="21">
      <formula>K23&lt;0</formula>
    </cfRule>
  </conditionalFormatting>
  <conditionalFormatting sqref="N2 J7:N7 J14:N14 D26:G26">
    <cfRule type="expression" dxfId="42" priority="45">
      <formula>D2&lt;0</formula>
    </cfRule>
  </conditionalFormatting>
  <conditionalFormatting sqref="N8:N13 N15:N22">
    <cfRule type="expression" dxfId="41" priority="33">
      <formula>N8&lt;0</formula>
    </cfRule>
  </conditionalFormatting>
  <conditionalFormatting sqref="O7:S25">
    <cfRule type="expression" dxfId="40" priority="28">
      <formula>O7&lt;0</formula>
    </cfRule>
  </conditionalFormatting>
  <conditionalFormatting sqref="O27:S27">
    <cfRule type="expression" dxfId="39" priority="16">
      <formula>O27&lt;0</formula>
    </cfRule>
  </conditionalFormatting>
  <conditionalFormatting sqref="O32:S32">
    <cfRule type="expression" dxfId="38" priority="23">
      <formula>O32&lt;0</formula>
    </cfRule>
  </conditionalFormatting>
  <conditionalFormatting sqref="Q27:S28">
    <cfRule type="expression" dxfId="37" priority="35">
      <formula>Q27&lt;0</formula>
    </cfRule>
  </conditionalFormatting>
  <pageMargins left="0.7" right="0.7" top="0.75" bottom="0.75" header="0.3" footer="0.3"/>
  <ignoredErrors>
    <ignoredError sqref="H14:N14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9">
    <tabColor theme="9" tint="-0.249977111117893"/>
  </sheetPr>
  <dimension ref="A1:AN47"/>
  <sheetViews>
    <sheetView showGridLines="0" zoomScale="80" zoomScaleNormal="80" workbookViewId="0">
      <selection activeCell="B2" sqref="B2:B3"/>
    </sheetView>
  </sheetViews>
  <sheetFormatPr defaultColWidth="0" defaultRowHeight="15" zeroHeight="1"/>
  <cols>
    <col min="1" max="1" width="2.85546875" customWidth="1"/>
    <col min="2" max="2" width="26.42578125" customWidth="1"/>
    <col min="3" max="27" width="10.7109375" customWidth="1"/>
    <col min="28" max="40" width="8.7109375" customWidth="1"/>
    <col min="41" max="16384" width="8.7109375" hidden="1"/>
  </cols>
  <sheetData>
    <row r="1" spans="1:27">
      <c r="A1" s="601"/>
      <c r="B1" s="601"/>
    </row>
    <row r="2" spans="1:27">
      <c r="A2" s="4"/>
      <c r="B2" s="588" t="s">
        <v>643</v>
      </c>
    </row>
    <row r="3" spans="1:27">
      <c r="A3" s="5"/>
      <c r="B3" s="588" t="s">
        <v>644</v>
      </c>
      <c r="L3" s="31"/>
    </row>
    <row r="4" spans="1:27">
      <c r="A4" s="5"/>
      <c r="B4" s="1"/>
    </row>
    <row r="5" spans="1:27">
      <c r="A5" s="5"/>
      <c r="B5" s="627" t="s">
        <v>153</v>
      </c>
      <c r="C5" s="628"/>
      <c r="D5" s="628"/>
      <c r="E5" s="628"/>
      <c r="F5" s="628"/>
      <c r="G5" s="628"/>
      <c r="H5" s="124"/>
      <c r="I5" s="128"/>
    </row>
    <row r="6" spans="1:27">
      <c r="A6" s="5"/>
      <c r="B6" s="32" t="s">
        <v>152</v>
      </c>
      <c r="C6" s="32" t="s">
        <v>42</v>
      </c>
      <c r="D6" s="122">
        <v>2026</v>
      </c>
      <c r="E6" s="122">
        <v>2027</v>
      </c>
      <c r="F6" s="122">
        <v>2028</v>
      </c>
      <c r="G6" s="122">
        <v>2029</v>
      </c>
      <c r="H6" s="124"/>
    </row>
    <row r="7" spans="1:27">
      <c r="A7" s="5"/>
      <c r="B7" s="212">
        <f>G10</f>
        <v>5.0166792744285912E-2</v>
      </c>
      <c r="C7" s="212">
        <v>0.03</v>
      </c>
      <c r="D7" s="212">
        <f>$B$7-(($B$7-$C$7)*(D6-2021)/4)</f>
        <v>2.4958301813928521E-2</v>
      </c>
      <c r="E7" s="212">
        <f>$B$7-(($B$7-$C$7)*(E6-2021)/4)</f>
        <v>1.9916603627857042E-2</v>
      </c>
      <c r="F7" s="212">
        <f>$B$7-(($B$7-$C$7)*(F6-2021)/4)</f>
        <v>1.487490544178556E-2</v>
      </c>
      <c r="G7" s="212">
        <f>$B$7-(($B$7-$C$7)*(G6-2021)/4)</f>
        <v>9.8332072557140854E-3</v>
      </c>
      <c r="K7" s="31"/>
    </row>
    <row r="8" spans="1:27">
      <c r="A8" s="5"/>
      <c r="I8" s="124"/>
      <c r="L8" s="31"/>
    </row>
    <row r="9" spans="1:27">
      <c r="A9" s="5"/>
      <c r="B9" s="32" t="s">
        <v>151</v>
      </c>
      <c r="C9" s="122">
        <v>2024</v>
      </c>
      <c r="D9" s="122">
        <v>2023</v>
      </c>
      <c r="E9" s="122">
        <v>2022</v>
      </c>
      <c r="F9" s="122">
        <v>2021</v>
      </c>
      <c r="G9" s="122" t="s">
        <v>241</v>
      </c>
      <c r="I9" s="124"/>
      <c r="L9" s="31"/>
    </row>
    <row r="10" spans="1:27">
      <c r="A10" s="5"/>
      <c r="B10" s="127" t="s">
        <v>242</v>
      </c>
      <c r="C10" s="212">
        <f>AVERAGE(W18:AA18)</f>
        <v>4.6735801052060794E-2</v>
      </c>
      <c r="D10" s="212">
        <f>AVERAGE(W26:AA26)</f>
        <v>4.8095632842484325E-2</v>
      </c>
      <c r="E10" s="212">
        <f>AVERAGE(W35:AA35)</f>
        <v>5.2477073540273665E-2</v>
      </c>
      <c r="F10" s="212">
        <f>AVERAGE(W44:AA44)</f>
        <v>5.3358663542324845E-2</v>
      </c>
      <c r="G10" s="212">
        <f>AVERAGE(C10:F10)</f>
        <v>5.0166792744285912E-2</v>
      </c>
      <c r="I10" s="124"/>
      <c r="J10" s="125"/>
      <c r="L10" s="31"/>
    </row>
    <row r="11" spans="1:27">
      <c r="A11" s="5"/>
      <c r="B11" s="126"/>
      <c r="C11" s="119"/>
      <c r="D11" s="119"/>
      <c r="E11" s="119"/>
      <c r="F11" s="119"/>
      <c r="G11" s="119"/>
      <c r="H11" s="124"/>
      <c r="I11" s="124"/>
      <c r="J11" s="125"/>
      <c r="L11" s="31"/>
    </row>
    <row r="12" spans="1:27">
      <c r="B12" s="114"/>
      <c r="C12" s="114"/>
      <c r="D12" s="114"/>
      <c r="E12" s="114"/>
      <c r="F12" s="114"/>
      <c r="G12" s="114"/>
      <c r="H12" s="124"/>
    </row>
    <row r="13" spans="1:27">
      <c r="B13" s="123" t="s">
        <v>635</v>
      </c>
      <c r="L13" s="31"/>
    </row>
    <row r="14" spans="1:27">
      <c r="B14" s="618" t="s">
        <v>146</v>
      </c>
      <c r="C14" s="620"/>
      <c r="D14" s="122">
        <v>1</v>
      </c>
      <c r="E14" s="122">
        <v>2</v>
      </c>
      <c r="F14" s="122">
        <v>3</v>
      </c>
      <c r="G14" s="122">
        <v>4</v>
      </c>
      <c r="H14" s="122">
        <v>5</v>
      </c>
      <c r="I14" s="122">
        <v>6</v>
      </c>
      <c r="J14" s="122">
        <v>7</v>
      </c>
      <c r="K14" s="122">
        <v>8</v>
      </c>
      <c r="L14" s="122">
        <v>9</v>
      </c>
      <c r="M14" s="122">
        <v>10</v>
      </c>
      <c r="N14" s="122">
        <v>11</v>
      </c>
      <c r="O14" s="122">
        <v>12</v>
      </c>
      <c r="P14" s="122">
        <v>13</v>
      </c>
      <c r="Q14" s="122">
        <v>14</v>
      </c>
      <c r="R14" s="122">
        <v>15</v>
      </c>
      <c r="S14" s="122">
        <v>16</v>
      </c>
      <c r="T14" s="122">
        <v>17</v>
      </c>
      <c r="U14" s="122">
        <v>18</v>
      </c>
      <c r="V14" s="122">
        <v>19</v>
      </c>
      <c r="W14" s="122">
        <v>20</v>
      </c>
      <c r="X14" s="122">
        <v>21</v>
      </c>
      <c r="Y14" s="122">
        <v>22</v>
      </c>
      <c r="Z14" s="122">
        <v>23</v>
      </c>
      <c r="AA14" s="122">
        <v>24</v>
      </c>
    </row>
    <row r="15" spans="1:27">
      <c r="B15" s="32" t="s">
        <v>145</v>
      </c>
      <c r="C15" s="32" t="s">
        <v>49</v>
      </c>
      <c r="D15" s="121">
        <v>45597</v>
      </c>
      <c r="E15" s="121">
        <v>45566</v>
      </c>
      <c r="F15" s="121">
        <v>45536</v>
      </c>
      <c r="G15" s="121">
        <v>45505</v>
      </c>
      <c r="H15" s="121">
        <v>45474</v>
      </c>
      <c r="I15" s="121">
        <v>45444</v>
      </c>
      <c r="J15" s="121">
        <v>45413</v>
      </c>
      <c r="K15" s="121">
        <v>45383</v>
      </c>
      <c r="L15" s="121">
        <v>45352</v>
      </c>
      <c r="M15" s="121">
        <v>45323</v>
      </c>
      <c r="N15" s="121">
        <v>45292</v>
      </c>
      <c r="O15" s="121">
        <v>45261</v>
      </c>
      <c r="P15" s="121">
        <v>45231</v>
      </c>
      <c r="Q15" s="121">
        <v>45200</v>
      </c>
      <c r="R15" s="121">
        <v>45170</v>
      </c>
      <c r="S15" s="121">
        <v>45139</v>
      </c>
      <c r="T15" s="121">
        <v>45108</v>
      </c>
      <c r="U15" s="121">
        <v>45078</v>
      </c>
      <c r="V15" s="121">
        <v>45047</v>
      </c>
      <c r="W15" s="121">
        <v>45017</v>
      </c>
      <c r="X15" s="121">
        <v>44986</v>
      </c>
      <c r="Y15" s="121">
        <v>44958</v>
      </c>
      <c r="Z15" s="121">
        <v>44927</v>
      </c>
      <c r="AA15" s="121">
        <v>44896</v>
      </c>
    </row>
    <row r="16" spans="1:27">
      <c r="B16" s="33" t="s">
        <v>144</v>
      </c>
      <c r="C16" s="34" t="s">
        <v>17</v>
      </c>
      <c r="D16" s="35">
        <f>P16*1.05</f>
        <v>73662042.982500017</v>
      </c>
      <c r="E16" s="35">
        <f t="shared" ref="E16:N16" si="0">Q16*1.05</f>
        <v>73557166.914000019</v>
      </c>
      <c r="F16" s="35">
        <f t="shared" si="0"/>
        <v>68278649.239500001</v>
      </c>
      <c r="G16" s="35">
        <f t="shared" si="0"/>
        <v>67404048.001500025</v>
      </c>
      <c r="H16" s="35">
        <f t="shared" si="0"/>
        <v>60670240.574999988</v>
      </c>
      <c r="I16" s="35">
        <f t="shared" si="0"/>
        <v>59677443.598500006</v>
      </c>
      <c r="J16" s="35">
        <f t="shared" si="0"/>
        <v>58099585.5405</v>
      </c>
      <c r="K16" s="35">
        <f t="shared" si="0"/>
        <v>63261831.874499999</v>
      </c>
      <c r="L16" s="35">
        <f t="shared" si="0"/>
        <v>55356243.873000003</v>
      </c>
      <c r="M16" s="35">
        <f t="shared" si="0"/>
        <v>60864042.445499994</v>
      </c>
      <c r="N16" s="35">
        <f t="shared" si="0"/>
        <v>64054507.90199998</v>
      </c>
      <c r="O16" s="35">
        <v>67576125.000000015</v>
      </c>
      <c r="P16" s="35">
        <v>70154326.650000006</v>
      </c>
      <c r="Q16" s="35">
        <v>70054444.680000022</v>
      </c>
      <c r="R16" s="35">
        <v>65027284.990000002</v>
      </c>
      <c r="S16" s="35">
        <v>64194331.430000015</v>
      </c>
      <c r="T16" s="35">
        <v>57781181.499999985</v>
      </c>
      <c r="U16" s="35">
        <v>56835660.57</v>
      </c>
      <c r="V16" s="35">
        <v>55332938.609999999</v>
      </c>
      <c r="W16" s="35">
        <v>60249363.689999998</v>
      </c>
      <c r="X16" s="35">
        <v>52720232.259999998</v>
      </c>
      <c r="Y16" s="35">
        <v>57965754.709999993</v>
      </c>
      <c r="Z16" s="35">
        <v>61004293.23999998</v>
      </c>
      <c r="AA16" s="35">
        <f>O24</f>
        <v>61261555.379999973</v>
      </c>
    </row>
    <row r="17" spans="2:27">
      <c r="B17" s="33" t="s">
        <v>149</v>
      </c>
      <c r="C17" s="34" t="s">
        <v>17</v>
      </c>
      <c r="D17" s="35">
        <f>D16*D18</f>
        <v>21095592.197453119</v>
      </c>
      <c r="E17" s="35">
        <f t="shared" ref="E17:AA17" si="1">E16*E18</f>
        <v>5841647.1890128143</v>
      </c>
      <c r="F17" s="35">
        <f t="shared" si="1"/>
        <v>4017852.2687166249</v>
      </c>
      <c r="G17" s="35">
        <f t="shared" si="1"/>
        <v>4692586.0984725263</v>
      </c>
      <c r="H17" s="35">
        <f t="shared" si="1"/>
        <v>5140376.661203661</v>
      </c>
      <c r="I17" s="35">
        <f t="shared" si="1"/>
        <v>4945252.7593488209</v>
      </c>
      <c r="J17" s="35">
        <f t="shared" si="1"/>
        <v>4991566.2568201059</v>
      </c>
      <c r="K17" s="35">
        <f t="shared" si="1"/>
        <v>4801613.8069872614</v>
      </c>
      <c r="L17" s="35">
        <f t="shared" si="1"/>
        <v>4225820.4394169906</v>
      </c>
      <c r="M17" s="35">
        <f t="shared" si="1"/>
        <v>4172572.7073081788</v>
      </c>
      <c r="N17" s="35">
        <f t="shared" si="1"/>
        <v>4097466.4004040705</v>
      </c>
      <c r="O17" s="35">
        <f t="shared" si="1"/>
        <v>3281887.2749834564</v>
      </c>
      <c r="P17" s="35">
        <f t="shared" si="1"/>
        <v>3407058.9663912756</v>
      </c>
      <c r="Q17" s="35">
        <f t="shared" si="1"/>
        <v>3091231.7138929646</v>
      </c>
      <c r="R17" s="35">
        <f t="shared" si="1"/>
        <v>2818213.4540687543</v>
      </c>
      <c r="S17" s="35">
        <f t="shared" si="1"/>
        <v>2825105.8268992156</v>
      </c>
      <c r="T17" s="35">
        <f t="shared" si="1"/>
        <v>2811885.4400589401</v>
      </c>
      <c r="U17" s="35">
        <f t="shared" si="1"/>
        <v>2789761.3123140787</v>
      </c>
      <c r="V17" s="35">
        <f t="shared" si="1"/>
        <v>2729971.4027748671</v>
      </c>
      <c r="W17" s="35">
        <f t="shared" si="1"/>
        <v>2807717.8174957163</v>
      </c>
      <c r="X17" s="35">
        <f t="shared" si="1"/>
        <v>2529061.5591298756</v>
      </c>
      <c r="Y17" s="35">
        <f t="shared" si="1"/>
        <v>2640142.0152659183</v>
      </c>
      <c r="Z17" s="35">
        <f t="shared" si="1"/>
        <v>2754548.6483090278</v>
      </c>
      <c r="AA17" s="35">
        <f t="shared" si="1"/>
        <v>2965431.8679917119</v>
      </c>
    </row>
    <row r="18" spans="2:27">
      <c r="B18" s="33" t="s">
        <v>142</v>
      </c>
      <c r="C18" s="34" t="s">
        <v>123</v>
      </c>
      <c r="D18" s="34">
        <v>0.28638347978571305</v>
      </c>
      <c r="E18" s="34">
        <v>7.9416424450422698E-2</v>
      </c>
      <c r="F18" s="34">
        <v>5.8844929029326053E-2</v>
      </c>
      <c r="G18" s="34">
        <v>6.9618757887776953E-2</v>
      </c>
      <c r="H18" s="34">
        <v>8.4726492139901355E-2</v>
      </c>
      <c r="I18" s="34">
        <v>8.2866363925031133E-2</v>
      </c>
      <c r="J18" s="34">
        <v>8.5913973574572061E-2</v>
      </c>
      <c r="K18" s="34">
        <v>7.5900644428267466E-2</v>
      </c>
      <c r="L18" s="34">
        <v>7.6338641203908236E-2</v>
      </c>
      <c r="M18" s="34">
        <v>6.8555628900996202E-2</v>
      </c>
      <c r="N18" s="34">
        <v>6.3968431490769986E-2</v>
      </c>
      <c r="O18" s="34">
        <v>4.8565780813615102E-2</v>
      </c>
      <c r="P18" s="34">
        <v>4.8565200880468791E-2</v>
      </c>
      <c r="Q18" s="34">
        <v>4.4126132581784439E-2</v>
      </c>
      <c r="R18" s="34">
        <v>4.3338937716716049E-2</v>
      </c>
      <c r="S18" s="34">
        <v>4.4008649423817436E-2</v>
      </c>
      <c r="T18" s="34">
        <v>4.866438115425073E-2</v>
      </c>
      <c r="U18" s="34">
        <v>4.9084699365430084E-2</v>
      </c>
      <c r="V18" s="34">
        <v>4.9337184529749438E-2</v>
      </c>
      <c r="W18" s="34">
        <v>4.6601617768815252E-2</v>
      </c>
      <c r="X18" s="34">
        <v>4.7971366033770876E-2</v>
      </c>
      <c r="Y18" s="34">
        <v>4.5546582261792805E-2</v>
      </c>
      <c r="Z18" s="34">
        <v>4.5153357280482261E-2</v>
      </c>
      <c r="AA18" s="34">
        <v>4.840608191544276E-2</v>
      </c>
    </row>
    <row r="19" spans="2:27"/>
    <row r="20" spans="2:27"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</row>
    <row r="21" spans="2:27">
      <c r="B21" s="123" t="s">
        <v>636</v>
      </c>
      <c r="L21" s="31"/>
    </row>
    <row r="22" spans="2:27">
      <c r="B22" s="618" t="s">
        <v>146</v>
      </c>
      <c r="C22" s="620"/>
      <c r="D22" s="122">
        <v>1</v>
      </c>
      <c r="E22" s="122">
        <v>2</v>
      </c>
      <c r="F22" s="122">
        <v>3</v>
      </c>
      <c r="G22" s="122">
        <v>4</v>
      </c>
      <c r="H22" s="122">
        <v>5</v>
      </c>
      <c r="I22" s="122">
        <v>6</v>
      </c>
      <c r="J22" s="122">
        <v>7</v>
      </c>
      <c r="K22" s="122">
        <v>8</v>
      </c>
      <c r="L22" s="122">
        <v>9</v>
      </c>
      <c r="M22" s="122">
        <v>10</v>
      </c>
      <c r="N22" s="122">
        <v>11</v>
      </c>
      <c r="O22" s="122">
        <v>12</v>
      </c>
      <c r="P22" s="122">
        <v>13</v>
      </c>
      <c r="Q22" s="122">
        <v>14</v>
      </c>
      <c r="R22" s="122">
        <v>15</v>
      </c>
      <c r="S22" s="122">
        <v>16</v>
      </c>
      <c r="T22" s="122">
        <v>17</v>
      </c>
      <c r="U22" s="122">
        <v>18</v>
      </c>
      <c r="V22" s="122">
        <v>19</v>
      </c>
      <c r="W22" s="122">
        <v>20</v>
      </c>
      <c r="X22" s="122">
        <v>21</v>
      </c>
      <c r="Y22" s="122">
        <v>22</v>
      </c>
      <c r="Z22" s="122">
        <v>23</v>
      </c>
      <c r="AA22" s="122">
        <v>24</v>
      </c>
    </row>
    <row r="23" spans="2:27">
      <c r="B23" s="32" t="s">
        <v>145</v>
      </c>
      <c r="C23" s="32" t="s">
        <v>49</v>
      </c>
      <c r="D23" s="121">
        <v>45231</v>
      </c>
      <c r="E23" s="121">
        <v>45200</v>
      </c>
      <c r="F23" s="121">
        <v>45170</v>
      </c>
      <c r="G23" s="121">
        <v>45139</v>
      </c>
      <c r="H23" s="121">
        <v>45108</v>
      </c>
      <c r="I23" s="121">
        <v>45078</v>
      </c>
      <c r="J23" s="121">
        <v>45047</v>
      </c>
      <c r="K23" s="121">
        <v>45017</v>
      </c>
      <c r="L23" s="121">
        <v>44986</v>
      </c>
      <c r="M23" s="121">
        <v>44958</v>
      </c>
      <c r="N23" s="121">
        <v>44927</v>
      </c>
      <c r="O23" s="121">
        <v>44896</v>
      </c>
      <c r="P23" s="121">
        <v>44866</v>
      </c>
      <c r="Q23" s="121">
        <v>44835</v>
      </c>
      <c r="R23" s="121">
        <v>44805</v>
      </c>
      <c r="S23" s="121">
        <v>44774</v>
      </c>
      <c r="T23" s="121">
        <v>44743</v>
      </c>
      <c r="U23" s="121">
        <v>44713</v>
      </c>
      <c r="V23" s="121">
        <v>44682</v>
      </c>
      <c r="W23" s="121">
        <v>44652</v>
      </c>
      <c r="X23" s="121">
        <v>44621</v>
      </c>
      <c r="Y23" s="121">
        <v>44593</v>
      </c>
      <c r="Z23" s="121">
        <v>44562</v>
      </c>
      <c r="AA23" s="121">
        <v>44531</v>
      </c>
    </row>
    <row r="24" spans="2:27">
      <c r="B24" s="33" t="s">
        <v>144</v>
      </c>
      <c r="C24" s="34" t="s">
        <v>17</v>
      </c>
      <c r="D24" s="35">
        <v>70154326.650000006</v>
      </c>
      <c r="E24" s="35">
        <v>70054444.680000022</v>
      </c>
      <c r="F24" s="35">
        <v>65027284.990000002</v>
      </c>
      <c r="G24" s="35">
        <v>64194331.430000015</v>
      </c>
      <c r="H24" s="35">
        <v>57781181.499999985</v>
      </c>
      <c r="I24" s="35">
        <v>56835660.57</v>
      </c>
      <c r="J24" s="35">
        <v>55332938.609999999</v>
      </c>
      <c r="K24" s="35">
        <v>60249363.689999998</v>
      </c>
      <c r="L24" s="35">
        <v>52720232.259999998</v>
      </c>
      <c r="M24" s="35">
        <v>57965754.709999993</v>
      </c>
      <c r="N24" s="35">
        <v>61004293.23999998</v>
      </c>
      <c r="O24" s="35">
        <v>61261555.379999973</v>
      </c>
      <c r="P24" s="35">
        <v>59189976.330000006</v>
      </c>
      <c r="Q24" s="35">
        <v>52818507.439999998</v>
      </c>
      <c r="R24" s="35">
        <v>57704894.930000007</v>
      </c>
      <c r="S24" s="35">
        <v>57458546.470000014</v>
      </c>
      <c r="T24" s="35">
        <v>53771967.460000016</v>
      </c>
      <c r="U24" s="35">
        <v>51015200.530000016</v>
      </c>
      <c r="V24" s="35">
        <v>52232384.279999994</v>
      </c>
      <c r="W24" s="35">
        <v>54730508.809999995</v>
      </c>
      <c r="X24" s="35">
        <v>52389834.930000007</v>
      </c>
      <c r="Y24" s="35">
        <v>53036385.050000004</v>
      </c>
      <c r="Z24" s="35">
        <v>63641280.520000011</v>
      </c>
      <c r="AA24" s="35">
        <f>O33</f>
        <v>59642706.99000001</v>
      </c>
    </row>
    <row r="25" spans="2:27">
      <c r="B25" s="33" t="s">
        <v>148</v>
      </c>
      <c r="C25" s="34" t="s">
        <v>17</v>
      </c>
      <c r="D25" s="35">
        <f>D24*D26</f>
        <v>22112150.383327521</v>
      </c>
      <c r="E25" s="35">
        <f t="shared" ref="E25:AA25" si="2">E24*E26</f>
        <v>6102308.1283570463</v>
      </c>
      <c r="F25" s="35">
        <f t="shared" si="2"/>
        <v>3537372.9895443879</v>
      </c>
      <c r="G25" s="35">
        <f t="shared" si="2"/>
        <v>3273331.2074065944</v>
      </c>
      <c r="H25" s="35">
        <f t="shared" si="2"/>
        <v>3000508.1879707468</v>
      </c>
      <c r="I25" s="35">
        <f t="shared" si="2"/>
        <v>3041572.3427417991</v>
      </c>
      <c r="J25" s="35">
        <f t="shared" si="2"/>
        <v>2954192.9611891736</v>
      </c>
      <c r="K25" s="35">
        <f t="shared" si="2"/>
        <v>3024499.5078160404</v>
      </c>
      <c r="L25" s="35">
        <f t="shared" si="2"/>
        <v>2720862.9050035137</v>
      </c>
      <c r="M25" s="35">
        <f t="shared" si="2"/>
        <v>2808708.5378852482</v>
      </c>
      <c r="N25" s="35">
        <f t="shared" si="2"/>
        <v>2939836.5200565369</v>
      </c>
      <c r="O25" s="35">
        <f t="shared" si="2"/>
        <v>3016665.8863588558</v>
      </c>
      <c r="P25" s="35">
        <f t="shared" si="2"/>
        <v>2924893.5398926334</v>
      </c>
      <c r="Q25" s="35">
        <f t="shared" si="2"/>
        <v>2483687.4944150732</v>
      </c>
      <c r="R25" s="35">
        <f t="shared" si="2"/>
        <v>2635661.5886158706</v>
      </c>
      <c r="S25" s="35">
        <f t="shared" si="2"/>
        <v>2660939.6672105561</v>
      </c>
      <c r="T25" s="35">
        <f t="shared" si="2"/>
        <v>2584829.9362143688</v>
      </c>
      <c r="U25" s="35">
        <f t="shared" si="2"/>
        <v>2334669.8828709195</v>
      </c>
      <c r="V25" s="35">
        <f t="shared" si="2"/>
        <v>2454306.0721980035</v>
      </c>
      <c r="W25" s="35">
        <f t="shared" si="2"/>
        <v>2766762.2560407924</v>
      </c>
      <c r="X25" s="35">
        <f t="shared" si="2"/>
        <v>2349128.5970179262</v>
      </c>
      <c r="Y25" s="35">
        <f t="shared" si="2"/>
        <v>2428526.8371063275</v>
      </c>
      <c r="Z25" s="35">
        <f t="shared" si="2"/>
        <v>3014301.5658962606</v>
      </c>
      <c r="AA25" s="35">
        <f t="shared" si="2"/>
        <v>3097397.1346522202</v>
      </c>
    </row>
    <row r="26" spans="2:27">
      <c r="B26" s="33" t="s">
        <v>142</v>
      </c>
      <c r="C26" s="34" t="s">
        <v>123</v>
      </c>
      <c r="D26" s="34">
        <v>0.31519296726551249</v>
      </c>
      <c r="E26" s="34">
        <v>8.7108079383565587E-2</v>
      </c>
      <c r="F26" s="34">
        <v>5.4398288196844918E-2</v>
      </c>
      <c r="G26" s="34">
        <v>5.0990969677376603E-2</v>
      </c>
      <c r="H26" s="34">
        <v>5.1928813327757027E-2</v>
      </c>
      <c r="I26" s="34">
        <v>5.3515210560379327E-2</v>
      </c>
      <c r="J26" s="34">
        <v>5.3389410275334261E-2</v>
      </c>
      <c r="K26" s="34">
        <v>5.0199692122525064E-2</v>
      </c>
      <c r="L26" s="34">
        <v>5.1609463546842003E-2</v>
      </c>
      <c r="M26" s="34">
        <v>4.8454618626757949E-2</v>
      </c>
      <c r="N26" s="34">
        <v>4.8190649607082275E-2</v>
      </c>
      <c r="O26" s="34">
        <v>4.9242397905941926E-2</v>
      </c>
      <c r="P26" s="34">
        <v>4.9415352416861374E-2</v>
      </c>
      <c r="Q26" s="34">
        <v>4.7023053372654583E-2</v>
      </c>
      <c r="R26" s="34">
        <v>4.5674835589131713E-2</v>
      </c>
      <c r="S26" s="34">
        <v>4.631059834762568E-2</v>
      </c>
      <c r="T26" s="34">
        <v>4.8070213129865043E-2</v>
      </c>
      <c r="U26" s="34">
        <v>4.5764200838493085E-2</v>
      </c>
      <c r="V26" s="34">
        <v>4.6988206761562061E-2</v>
      </c>
      <c r="W26" s="34">
        <v>5.0552467283755051E-2</v>
      </c>
      <c r="X26" s="34">
        <v>4.4839396805824709E-2</v>
      </c>
      <c r="Y26" s="34">
        <v>4.578982588682913E-2</v>
      </c>
      <c r="Z26" s="34">
        <v>4.7363936446077344E-2</v>
      </c>
      <c r="AA26" s="34">
        <v>5.193253778993541E-2</v>
      </c>
    </row>
    <row r="27" spans="2:27">
      <c r="B27" s="120"/>
      <c r="C27" s="119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</row>
    <row r="28" spans="2:27"/>
    <row r="29" spans="2:27"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</row>
    <row r="30" spans="2:27">
      <c r="B30" s="123" t="s">
        <v>637</v>
      </c>
      <c r="L30" s="31"/>
    </row>
    <row r="31" spans="2:27">
      <c r="B31" s="618" t="s">
        <v>146</v>
      </c>
      <c r="C31" s="620"/>
      <c r="D31" s="122">
        <v>1</v>
      </c>
      <c r="E31" s="122">
        <v>2</v>
      </c>
      <c r="F31" s="122">
        <v>3</v>
      </c>
      <c r="G31" s="122">
        <v>4</v>
      </c>
      <c r="H31" s="122">
        <v>5</v>
      </c>
      <c r="I31" s="122">
        <v>6</v>
      </c>
      <c r="J31" s="122">
        <v>7</v>
      </c>
      <c r="K31" s="122">
        <v>8</v>
      </c>
      <c r="L31" s="122">
        <v>9</v>
      </c>
      <c r="M31" s="122">
        <v>10</v>
      </c>
      <c r="N31" s="122">
        <v>11</v>
      </c>
      <c r="O31" s="122">
        <v>12</v>
      </c>
      <c r="P31" s="122">
        <v>13</v>
      </c>
      <c r="Q31" s="122">
        <v>14</v>
      </c>
      <c r="R31" s="122">
        <v>15</v>
      </c>
      <c r="S31" s="122">
        <v>16</v>
      </c>
      <c r="T31" s="122">
        <v>17</v>
      </c>
      <c r="U31" s="122">
        <v>18</v>
      </c>
      <c r="V31" s="122">
        <v>19</v>
      </c>
      <c r="W31" s="122">
        <v>20</v>
      </c>
      <c r="X31" s="122">
        <v>21</v>
      </c>
      <c r="Y31" s="122">
        <v>22</v>
      </c>
      <c r="Z31" s="122">
        <v>23</v>
      </c>
      <c r="AA31" s="122">
        <v>24</v>
      </c>
    </row>
    <row r="32" spans="2:27">
      <c r="B32" s="32" t="s">
        <v>145</v>
      </c>
      <c r="C32" s="32" t="s">
        <v>49</v>
      </c>
      <c r="D32" s="121">
        <v>44866</v>
      </c>
      <c r="E32" s="121">
        <v>44835</v>
      </c>
      <c r="F32" s="121">
        <v>44805</v>
      </c>
      <c r="G32" s="121">
        <v>44774</v>
      </c>
      <c r="H32" s="121">
        <v>44743</v>
      </c>
      <c r="I32" s="121">
        <v>44713</v>
      </c>
      <c r="J32" s="121">
        <v>44682</v>
      </c>
      <c r="K32" s="121">
        <v>44652</v>
      </c>
      <c r="L32" s="121">
        <v>44621</v>
      </c>
      <c r="M32" s="121">
        <v>44593</v>
      </c>
      <c r="N32" s="121">
        <v>44562</v>
      </c>
      <c r="O32" s="121">
        <v>44531</v>
      </c>
      <c r="P32" s="121">
        <v>44501</v>
      </c>
      <c r="Q32" s="121">
        <v>44470</v>
      </c>
      <c r="R32" s="121">
        <v>44440</v>
      </c>
      <c r="S32" s="121">
        <v>44409</v>
      </c>
      <c r="T32" s="121">
        <v>44378</v>
      </c>
      <c r="U32" s="121">
        <v>44348</v>
      </c>
      <c r="V32" s="121">
        <v>44317</v>
      </c>
      <c r="W32" s="121">
        <v>44287</v>
      </c>
      <c r="X32" s="121">
        <v>44256</v>
      </c>
      <c r="Y32" s="121">
        <v>44228</v>
      </c>
      <c r="Z32" s="121">
        <v>44197</v>
      </c>
      <c r="AA32" s="121">
        <v>44166</v>
      </c>
    </row>
    <row r="33" spans="2:27">
      <c r="B33" s="33" t="s">
        <v>144</v>
      </c>
      <c r="C33" s="34" t="s">
        <v>17</v>
      </c>
      <c r="D33" s="35">
        <v>59189976.330000006</v>
      </c>
      <c r="E33" s="35">
        <v>52818507.439999998</v>
      </c>
      <c r="F33" s="35">
        <v>57704894.930000007</v>
      </c>
      <c r="G33" s="35">
        <v>57458546.470000014</v>
      </c>
      <c r="H33" s="35">
        <v>53771967.460000016</v>
      </c>
      <c r="I33" s="35">
        <v>51015200.530000016</v>
      </c>
      <c r="J33" s="35">
        <v>52232384.279999994</v>
      </c>
      <c r="K33" s="35">
        <v>54730508.809999995</v>
      </c>
      <c r="L33" s="35">
        <v>52389834.930000007</v>
      </c>
      <c r="M33" s="35">
        <v>53036385.050000004</v>
      </c>
      <c r="N33" s="35">
        <v>63641280.520000011</v>
      </c>
      <c r="O33" s="35">
        <v>59642706.99000001</v>
      </c>
      <c r="P33" s="35">
        <v>58195736.040000007</v>
      </c>
      <c r="Q33" s="35">
        <v>57170918.070000008</v>
      </c>
      <c r="R33" s="35">
        <v>59434170.799999997</v>
      </c>
      <c r="S33" s="35">
        <v>55367609.409999982</v>
      </c>
      <c r="T33" s="35">
        <v>50847991.949999996</v>
      </c>
      <c r="U33" s="35">
        <v>48851028.880000003</v>
      </c>
      <c r="V33" s="35">
        <v>49651985.089999996</v>
      </c>
      <c r="W33" s="35">
        <v>53375977.19000002</v>
      </c>
      <c r="X33" s="35">
        <v>48030739.890000008</v>
      </c>
      <c r="Y33" s="35">
        <v>49416551.68</v>
      </c>
      <c r="Z33" s="35">
        <v>52510750.029999979</v>
      </c>
      <c r="AA33" s="35">
        <f>O42</f>
        <v>52136754.460000031</v>
      </c>
    </row>
    <row r="34" spans="2:27">
      <c r="B34" s="33" t="s">
        <v>147</v>
      </c>
      <c r="C34" s="34" t="s">
        <v>17</v>
      </c>
      <c r="D34" s="35">
        <f>D33*D35</f>
        <v>19194110.708805315</v>
      </c>
      <c r="E34" s="35">
        <f t="shared" ref="E34:AA34" si="3">E33*E35</f>
        <v>4456200.6277492503</v>
      </c>
      <c r="F34" s="35">
        <f t="shared" si="3"/>
        <v>3286770.2470180867</v>
      </c>
      <c r="G34" s="35">
        <f t="shared" si="3"/>
        <v>3072582.4800653001</v>
      </c>
      <c r="H34" s="35">
        <f t="shared" si="3"/>
        <v>2873645.065677675</v>
      </c>
      <c r="I34" s="35">
        <f t="shared" si="3"/>
        <v>2559360.1744844234</v>
      </c>
      <c r="J34" s="35">
        <f t="shared" si="3"/>
        <v>2669617.7687718882</v>
      </c>
      <c r="K34" s="35">
        <f t="shared" si="3"/>
        <v>2969277.8420000873</v>
      </c>
      <c r="L34" s="35">
        <f t="shared" si="3"/>
        <v>2491165.6007448751</v>
      </c>
      <c r="M34" s="35">
        <f t="shared" si="3"/>
        <v>2519261.8376542148</v>
      </c>
      <c r="N34" s="35">
        <f t="shared" si="3"/>
        <v>3209954.9515865371</v>
      </c>
      <c r="O34" s="35">
        <f t="shared" si="3"/>
        <v>3143577.4853688963</v>
      </c>
      <c r="P34" s="35">
        <f t="shared" si="3"/>
        <v>3035251.0215800563</v>
      </c>
      <c r="Q34" s="35">
        <f t="shared" si="3"/>
        <v>2766855.1508305054</v>
      </c>
      <c r="R34" s="35">
        <f t="shared" si="3"/>
        <v>2777867.8857270824</v>
      </c>
      <c r="S34" s="35">
        <f t="shared" si="3"/>
        <v>2606032.4486528421</v>
      </c>
      <c r="T34" s="35">
        <f t="shared" si="3"/>
        <v>2445976.5821036212</v>
      </c>
      <c r="U34" s="35">
        <f t="shared" si="3"/>
        <v>2345790.0538106295</v>
      </c>
      <c r="V34" s="35">
        <f t="shared" si="3"/>
        <v>2377212.8846236356</v>
      </c>
      <c r="W34" s="35">
        <f t="shared" si="3"/>
        <v>2582620.9971792833</v>
      </c>
      <c r="X34" s="35">
        <f t="shared" si="3"/>
        <v>2356681.168190931</v>
      </c>
      <c r="Y34" s="35">
        <f t="shared" si="3"/>
        <v>2505950.4305552263</v>
      </c>
      <c r="Z34" s="35">
        <f t="shared" si="3"/>
        <v>2999933.3068863782</v>
      </c>
      <c r="AA34" s="35">
        <f t="shared" si="3"/>
        <v>2976652.6157564935</v>
      </c>
    </row>
    <row r="35" spans="2:27">
      <c r="B35" s="33" t="s">
        <v>142</v>
      </c>
      <c r="C35" s="34" t="s">
        <v>123</v>
      </c>
      <c r="D35" s="34">
        <v>0.32427974969601264</v>
      </c>
      <c r="E35" s="34">
        <v>8.436816645777695E-2</v>
      </c>
      <c r="F35" s="34">
        <v>5.6958257198200676E-2</v>
      </c>
      <c r="G35" s="34">
        <v>5.3474768660734265E-2</v>
      </c>
      <c r="H35" s="34">
        <v>5.3441322708069533E-2</v>
      </c>
      <c r="I35" s="34">
        <v>5.0168580107400836E-2</v>
      </c>
      <c r="J35" s="34">
        <v>5.1110394548733944E-2</v>
      </c>
      <c r="K35" s="34">
        <v>5.4252699391268235E-2</v>
      </c>
      <c r="L35" s="34">
        <v>4.7550552584741168E-2</v>
      </c>
      <c r="M35" s="34">
        <v>4.7500632542719176E-2</v>
      </c>
      <c r="N35" s="34">
        <v>5.043825211181556E-2</v>
      </c>
      <c r="O35" s="34">
        <v>5.270682106860046E-2</v>
      </c>
      <c r="P35" s="34">
        <v>5.2155900554188714E-2</v>
      </c>
      <c r="Q35" s="34">
        <v>4.839619940058984E-2</v>
      </c>
      <c r="R35" s="34">
        <v>4.6738565514353611E-2</v>
      </c>
      <c r="S35" s="34">
        <v>4.7067815938286919E-2</v>
      </c>
      <c r="T35" s="34">
        <v>4.8103700624182101E-2</v>
      </c>
      <c r="U35" s="34">
        <v>4.8019255839481703E-2</v>
      </c>
      <c r="V35" s="34">
        <v>4.7877499365124289E-2</v>
      </c>
      <c r="W35" s="34">
        <v>4.838545602614535E-2</v>
      </c>
      <c r="X35" s="34">
        <v>4.9066101700456874E-2</v>
      </c>
      <c r="Y35" s="34">
        <v>5.0710750656635585E-2</v>
      </c>
      <c r="Z35" s="34">
        <v>5.7129888740352838E-2</v>
      </c>
      <c r="AA35" s="34">
        <v>5.7093170577777692E-2</v>
      </c>
    </row>
    <row r="36" spans="2:27">
      <c r="B36" s="120"/>
      <c r="C36" s="119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</row>
    <row r="37" spans="2:27"/>
    <row r="38" spans="2:27"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</row>
    <row r="39" spans="2:27">
      <c r="B39" s="123" t="s">
        <v>638</v>
      </c>
      <c r="L39" s="31"/>
    </row>
    <row r="40" spans="2:27">
      <c r="B40" s="618" t="s">
        <v>146</v>
      </c>
      <c r="C40" s="620"/>
      <c r="D40" s="122">
        <v>1</v>
      </c>
      <c r="E40" s="122">
        <v>2</v>
      </c>
      <c r="F40" s="122">
        <v>3</v>
      </c>
      <c r="G40" s="122">
        <v>4</v>
      </c>
      <c r="H40" s="122">
        <v>5</v>
      </c>
      <c r="I40" s="122">
        <v>6</v>
      </c>
      <c r="J40" s="122">
        <v>7</v>
      </c>
      <c r="K40" s="122">
        <v>8</v>
      </c>
      <c r="L40" s="122">
        <v>9</v>
      </c>
      <c r="M40" s="122">
        <v>10</v>
      </c>
      <c r="N40" s="122">
        <v>11</v>
      </c>
      <c r="O40" s="122">
        <v>12</v>
      </c>
      <c r="P40" s="122">
        <v>13</v>
      </c>
      <c r="Q40" s="122">
        <v>14</v>
      </c>
      <c r="R40" s="122">
        <v>15</v>
      </c>
      <c r="S40" s="122">
        <v>16</v>
      </c>
      <c r="T40" s="122">
        <v>17</v>
      </c>
      <c r="U40" s="122">
        <v>18</v>
      </c>
      <c r="V40" s="122">
        <v>19</v>
      </c>
      <c r="W40" s="122">
        <v>20</v>
      </c>
      <c r="X40" s="122">
        <v>21</v>
      </c>
      <c r="Y40" s="122">
        <v>22</v>
      </c>
      <c r="Z40" s="122">
        <v>23</v>
      </c>
      <c r="AA40" s="122">
        <v>24</v>
      </c>
    </row>
    <row r="41" spans="2:27">
      <c r="B41" s="32" t="s">
        <v>145</v>
      </c>
      <c r="C41" s="32" t="s">
        <v>49</v>
      </c>
      <c r="D41" s="121">
        <v>44501</v>
      </c>
      <c r="E41" s="121">
        <v>44470</v>
      </c>
      <c r="F41" s="121">
        <v>44440</v>
      </c>
      <c r="G41" s="121">
        <v>44409</v>
      </c>
      <c r="H41" s="121">
        <v>44378</v>
      </c>
      <c r="I41" s="121">
        <v>44348</v>
      </c>
      <c r="J41" s="121">
        <v>44317</v>
      </c>
      <c r="K41" s="121">
        <v>44287</v>
      </c>
      <c r="L41" s="121">
        <v>44256</v>
      </c>
      <c r="M41" s="121">
        <v>44228</v>
      </c>
      <c r="N41" s="121">
        <v>44197</v>
      </c>
      <c r="O41" s="121">
        <v>44166</v>
      </c>
      <c r="P41" s="121">
        <v>44136</v>
      </c>
      <c r="Q41" s="121">
        <v>44105</v>
      </c>
      <c r="R41" s="121">
        <v>44075</v>
      </c>
      <c r="S41" s="121">
        <v>44044</v>
      </c>
      <c r="T41" s="121">
        <v>44013</v>
      </c>
      <c r="U41" s="121">
        <v>43983</v>
      </c>
      <c r="V41" s="121">
        <v>43952</v>
      </c>
      <c r="W41" s="121">
        <v>43922</v>
      </c>
      <c r="X41" s="121">
        <v>43891</v>
      </c>
      <c r="Y41" s="121">
        <v>43862</v>
      </c>
      <c r="Z41" s="121">
        <v>43831</v>
      </c>
      <c r="AA41" s="121">
        <v>43800</v>
      </c>
    </row>
    <row r="42" spans="2:27">
      <c r="B42" s="33" t="s">
        <v>144</v>
      </c>
      <c r="C42" s="34" t="s">
        <v>17</v>
      </c>
      <c r="D42" s="35">
        <v>58195736.040000007</v>
      </c>
      <c r="E42" s="35">
        <v>57170918.070000008</v>
      </c>
      <c r="F42" s="35">
        <v>59434170.799999997</v>
      </c>
      <c r="G42" s="35">
        <v>55367609.409999982</v>
      </c>
      <c r="H42" s="35">
        <v>50847991.949999996</v>
      </c>
      <c r="I42" s="35">
        <v>48851028.880000003</v>
      </c>
      <c r="J42" s="35">
        <v>49651985.089999996</v>
      </c>
      <c r="K42" s="35">
        <v>53375977.19000002</v>
      </c>
      <c r="L42" s="35">
        <v>48030739.890000008</v>
      </c>
      <c r="M42" s="35">
        <v>49416551.68</v>
      </c>
      <c r="N42" s="35">
        <v>52510750.029999979</v>
      </c>
      <c r="O42" s="35">
        <v>52136754.460000031</v>
      </c>
      <c r="P42" s="35">
        <v>50411898.099999994</v>
      </c>
      <c r="Q42" s="35">
        <v>55345241.540000007</v>
      </c>
      <c r="R42" s="35">
        <v>52105393.779999986</v>
      </c>
      <c r="S42" s="35">
        <v>49183518.439999998</v>
      </c>
      <c r="T42" s="35">
        <v>45783947.829999991</v>
      </c>
      <c r="U42" s="35">
        <v>44577226.519999996</v>
      </c>
      <c r="V42" s="35">
        <v>45528969.779999986</v>
      </c>
      <c r="W42" s="35">
        <v>47680518.23999998</v>
      </c>
      <c r="X42" s="35">
        <v>46956099.310000017</v>
      </c>
      <c r="Y42" s="35">
        <v>47171510.830000021</v>
      </c>
      <c r="Z42" s="35">
        <v>49117616.300000004</v>
      </c>
      <c r="AA42" s="35">
        <v>50417087.609999999</v>
      </c>
    </row>
    <row r="43" spans="2:27">
      <c r="B43" s="33" t="s">
        <v>143</v>
      </c>
      <c r="C43" s="34" t="s">
        <v>17</v>
      </c>
      <c r="D43" s="35">
        <f>D42*D44</f>
        <v>19423829.220781654</v>
      </c>
      <c r="E43" s="35">
        <f t="shared" ref="E43:AA43" si="4">E42*E44</f>
        <v>4921939.7445180193</v>
      </c>
      <c r="F43" s="35">
        <f t="shared" si="4"/>
        <v>3450362.7602217668</v>
      </c>
      <c r="G43" s="35">
        <f t="shared" si="4"/>
        <v>2991239.4334275071</v>
      </c>
      <c r="H43" s="35">
        <f t="shared" si="4"/>
        <v>2720849.1261387845</v>
      </c>
      <c r="I43" s="35">
        <f t="shared" si="4"/>
        <v>2495262.6079613306</v>
      </c>
      <c r="J43" s="35">
        <f t="shared" si="4"/>
        <v>2498602.9825850092</v>
      </c>
      <c r="K43" s="35">
        <f t="shared" si="4"/>
        <v>2699811.6896786531</v>
      </c>
      <c r="L43" s="35">
        <f t="shared" si="4"/>
        <v>2514645.7965018759</v>
      </c>
      <c r="M43" s="35">
        <f t="shared" si="4"/>
        <v>2674735.4025907894</v>
      </c>
      <c r="N43" s="35">
        <f t="shared" si="4"/>
        <v>3171471.5932326452</v>
      </c>
      <c r="O43" s="35">
        <f t="shared" si="4"/>
        <v>3119184.9202712374</v>
      </c>
      <c r="P43" s="35">
        <f t="shared" si="4"/>
        <v>2927033.746822916</v>
      </c>
      <c r="Q43" s="35">
        <f t="shared" si="4"/>
        <v>3187454.3720551268</v>
      </c>
      <c r="R43" s="35">
        <f t="shared" si="4"/>
        <v>2959459.8240369861</v>
      </c>
      <c r="S43" s="35">
        <f t="shared" si="4"/>
        <v>2772124.4060136229</v>
      </c>
      <c r="T43" s="35">
        <f t="shared" si="4"/>
        <v>2730729.8088518535</v>
      </c>
      <c r="U43" s="35">
        <f t="shared" si="4"/>
        <v>2630694.9397601318</v>
      </c>
      <c r="V43" s="35">
        <f t="shared" si="4"/>
        <v>2514898.0653045317</v>
      </c>
      <c r="W43" s="35">
        <f t="shared" si="4"/>
        <v>2664046.4180515539</v>
      </c>
      <c r="X43" s="35">
        <f t="shared" si="4"/>
        <v>2505690.3697088826</v>
      </c>
      <c r="Y43" s="35">
        <f t="shared" si="4"/>
        <v>2457905.9140426544</v>
      </c>
      <c r="Z43" s="35">
        <f t="shared" si="4"/>
        <v>2725258.185703916</v>
      </c>
      <c r="AA43" s="35">
        <f t="shared" si="4"/>
        <v>2519241.1588250422</v>
      </c>
    </row>
    <row r="44" spans="2:27">
      <c r="B44" s="33" t="s">
        <v>142</v>
      </c>
      <c r="C44" s="34" t="s">
        <v>123</v>
      </c>
      <c r="D44" s="34">
        <v>0.33376722321083735</v>
      </c>
      <c r="E44" s="34">
        <v>8.6091668818254793E-2</v>
      </c>
      <c r="F44" s="34">
        <v>5.8053518940012989E-2</v>
      </c>
      <c r="G44" s="34">
        <v>5.4025078295817798E-2</v>
      </c>
      <c r="H44" s="34">
        <v>5.350947051781825E-2</v>
      </c>
      <c r="I44" s="34">
        <v>5.1079018501141764E-2</v>
      </c>
      <c r="J44" s="34">
        <v>5.0322317991033004E-2</v>
      </c>
      <c r="K44" s="34">
        <v>5.0581025993552443E-2</v>
      </c>
      <c r="L44" s="34">
        <v>5.2354925247058801E-2</v>
      </c>
      <c r="M44" s="34">
        <v>5.4126306099041621E-2</v>
      </c>
      <c r="N44" s="34">
        <v>6.0396615767642776E-2</v>
      </c>
      <c r="O44" s="34">
        <v>5.9826986788452954E-2</v>
      </c>
      <c r="P44" s="34">
        <v>5.8062359425877605E-2</v>
      </c>
      <c r="Q44" s="34">
        <v>5.7592202750645478E-2</v>
      </c>
      <c r="R44" s="34">
        <v>5.6797571409448556E-2</v>
      </c>
      <c r="S44" s="34">
        <v>5.6362873050560536E-2</v>
      </c>
      <c r="T44" s="34">
        <v>5.9643825800940201E-2</v>
      </c>
      <c r="U44" s="34">
        <v>5.9014325141557328E-2</v>
      </c>
      <c r="V44" s="34">
        <v>5.5237315437989085E-2</v>
      </c>
      <c r="W44" s="34">
        <v>5.587284946531141E-2</v>
      </c>
      <c r="X44" s="34">
        <v>5.3362404597676147E-2</v>
      </c>
      <c r="Y44" s="34">
        <v>5.210572802937407E-2</v>
      </c>
      <c r="Z44" s="34">
        <v>5.5484333137394447E-2</v>
      </c>
      <c r="AA44" s="34">
        <v>4.9968002481868119E-2</v>
      </c>
    </row>
    <row r="45" spans="2:27">
      <c r="B45" s="120"/>
      <c r="C45" s="119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</row>
    <row r="46" spans="2:27"/>
    <row r="47" spans="2:27"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</row>
  </sheetData>
  <sheetProtection algorithmName="SHA-512" hashValue="Geg4aTcDuUd9np1dDCMTaDHMoCPrlAN+q8dFxpOp40s47xmEcvxVCaUkk2b1Exb3notXsNvAluZWv8UE1AVsWg==" saltValue="LvYTaGb02v8+JX1Js4K4gw==" spinCount="100000" sheet="1" objects="1" scenarios="1" selectLockedCells="1" selectUnlockedCells="1"/>
  <mergeCells count="6">
    <mergeCell ref="A1:B1"/>
    <mergeCell ref="B14:C14"/>
    <mergeCell ref="B31:C31"/>
    <mergeCell ref="B40:C40"/>
    <mergeCell ref="B22:C22"/>
    <mergeCell ref="B5:G5"/>
  </mergeCells>
  <conditionalFormatting sqref="B7:G7">
    <cfRule type="expression" dxfId="36" priority="3">
      <formula>B7&lt;0</formula>
    </cfRule>
  </conditionalFormatting>
  <conditionalFormatting sqref="B10:G11">
    <cfRule type="expression" dxfId="35" priority="2">
      <formula>B10&lt;0</formula>
    </cfRule>
  </conditionalFormatting>
  <conditionalFormatting sqref="D16:AA18">
    <cfRule type="expression" dxfId="34" priority="10">
      <formula>D16&lt;0</formula>
    </cfRule>
  </conditionalFormatting>
  <conditionalFormatting sqref="D24:AA27">
    <cfRule type="expression" dxfId="33" priority="8">
      <formula>D24&lt;0</formula>
    </cfRule>
  </conditionalFormatting>
  <conditionalFormatting sqref="D33:AA36">
    <cfRule type="expression" dxfId="32" priority="6">
      <formula>D33&lt;0</formula>
    </cfRule>
  </conditionalFormatting>
  <conditionalFormatting sqref="D42:AA45">
    <cfRule type="expression" dxfId="31" priority="4">
      <formula>D42&lt;0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8">
    <tabColor theme="9" tint="0.59999389629810485"/>
  </sheetPr>
  <dimension ref="A1:Q44"/>
  <sheetViews>
    <sheetView showGridLines="0" zoomScale="80" zoomScaleNormal="80" workbookViewId="0">
      <selection activeCell="B2" sqref="B2:B3"/>
    </sheetView>
  </sheetViews>
  <sheetFormatPr defaultColWidth="0" defaultRowHeight="15" zeroHeight="1"/>
  <cols>
    <col min="1" max="1" width="2.85546875" customWidth="1"/>
    <col min="2" max="2" width="35.5703125" bestFit="1" customWidth="1"/>
    <col min="3" max="3" width="5.5703125" bestFit="1" customWidth="1"/>
    <col min="4" max="4" width="11.5703125" bestFit="1" customWidth="1"/>
    <col min="5" max="5" width="13.28515625" bestFit="1" customWidth="1"/>
    <col min="6" max="7" width="13.42578125" customWidth="1"/>
    <col min="8" max="8" width="16" customWidth="1"/>
    <col min="9" max="9" width="10.5703125" bestFit="1" customWidth="1"/>
    <col min="10" max="10" width="32.28515625" bestFit="1" customWidth="1"/>
    <col min="11" max="14" width="12" bestFit="1" customWidth="1"/>
    <col min="15" max="15" width="8.7109375" customWidth="1"/>
    <col min="16" max="17" width="0" hidden="1" customWidth="1"/>
    <col min="18" max="16384" width="8.7109375" hidden="1"/>
  </cols>
  <sheetData>
    <row r="1" spans="1:17">
      <c r="A1" s="601"/>
      <c r="B1" s="601"/>
    </row>
    <row r="2" spans="1:17">
      <c r="A2" s="4"/>
      <c r="B2" s="588" t="s">
        <v>643</v>
      </c>
    </row>
    <row r="3" spans="1:17">
      <c r="A3" s="5"/>
      <c r="B3" s="588" t="s">
        <v>644</v>
      </c>
      <c r="Q3" s="31"/>
    </row>
    <row r="4" spans="1:17"/>
    <row r="5" spans="1:17">
      <c r="B5" s="2"/>
      <c r="D5" s="609" t="s">
        <v>159</v>
      </c>
      <c r="E5" s="609"/>
      <c r="F5" s="609"/>
      <c r="G5" s="609"/>
      <c r="H5" s="609"/>
      <c r="K5" s="29">
        <v>2021</v>
      </c>
      <c r="L5" s="29">
        <v>2022</v>
      </c>
      <c r="M5" s="29">
        <v>2023</v>
      </c>
      <c r="N5" s="29">
        <v>2024</v>
      </c>
      <c r="Q5" s="31"/>
    </row>
    <row r="6" spans="1:17">
      <c r="B6" s="32" t="s">
        <v>139</v>
      </c>
      <c r="C6" s="32" t="s">
        <v>49</v>
      </c>
      <c r="D6" s="29">
        <v>2021</v>
      </c>
      <c r="E6" s="29">
        <v>2022</v>
      </c>
      <c r="F6" s="29">
        <v>2023</v>
      </c>
      <c r="G6" s="29">
        <v>2024</v>
      </c>
      <c r="H6" s="29" t="s">
        <v>138</v>
      </c>
      <c r="J6" s="163" t="s">
        <v>224</v>
      </c>
      <c r="K6" s="35">
        <v>647079000</v>
      </c>
      <c r="L6" s="35">
        <v>670441000</v>
      </c>
      <c r="M6" s="35">
        <v>741907000</v>
      </c>
      <c r="N6" s="35">
        <v>836133000</v>
      </c>
    </row>
    <row r="7" spans="1:17">
      <c r="B7" s="117" t="s">
        <v>135</v>
      </c>
      <c r="C7" s="34" t="s">
        <v>17</v>
      </c>
      <c r="D7" s="39">
        <f>SUM(D8:D13)</f>
        <v>29177092.259999998</v>
      </c>
      <c r="E7" s="39">
        <f>SUM(E8:E13)</f>
        <v>30261738.900000002</v>
      </c>
      <c r="F7" s="39">
        <f>SUM(F8:F16)</f>
        <v>36214670.085999995</v>
      </c>
      <c r="G7" s="39">
        <f>SUM(G8:G13)</f>
        <v>33240107.910873603</v>
      </c>
      <c r="H7" s="39">
        <f>SUM(H8:H13)</f>
        <v>30910072.861718398</v>
      </c>
      <c r="J7" s="163" t="s">
        <v>225</v>
      </c>
      <c r="K7" s="35">
        <f>574026000+138542000</f>
        <v>712568000</v>
      </c>
      <c r="L7" s="35">
        <f>605808000+132849000</f>
        <v>738657000</v>
      </c>
      <c r="M7" s="475">
        <f>M6/0.9075</f>
        <v>817528374.6556474</v>
      </c>
      <c r="N7" s="475">
        <f>N6/0.9075</f>
        <v>921358677.6859504</v>
      </c>
    </row>
    <row r="8" spans="1:17">
      <c r="B8" s="33" t="s">
        <v>47</v>
      </c>
      <c r="C8" s="34" t="s">
        <v>17</v>
      </c>
      <c r="D8" s="474">
        <v>5345864.5999999996</v>
      </c>
      <c r="E8" s="474">
        <v>5401513.9699999997</v>
      </c>
      <c r="F8" s="474">
        <v>5696684.4400000004</v>
      </c>
      <c r="G8" s="474">
        <f>F8*1.0736</f>
        <v>6115960.4147840012</v>
      </c>
      <c r="H8" s="474">
        <f t="shared" ref="H8:H14" si="0">AVERAGE(D8:G8)</f>
        <v>5640005.8561960012</v>
      </c>
      <c r="J8" s="163" t="s">
        <v>226</v>
      </c>
      <c r="K8" s="35">
        <f>K7-K6</f>
        <v>65489000</v>
      </c>
      <c r="L8" s="35">
        <f>L7-L6</f>
        <v>68216000</v>
      </c>
      <c r="M8" s="35">
        <f>M7-M6</f>
        <v>75621374.655647397</v>
      </c>
      <c r="N8" s="35">
        <f>N7-N6</f>
        <v>85225677.685950398</v>
      </c>
    </row>
    <row r="9" spans="1:17">
      <c r="B9" s="33" t="s">
        <v>548</v>
      </c>
      <c r="C9" s="34" t="s">
        <v>17</v>
      </c>
      <c r="D9" s="474">
        <v>11515.52</v>
      </c>
      <c r="E9" s="474">
        <v>5467.11</v>
      </c>
      <c r="F9" s="474">
        <v>8899.2860000000001</v>
      </c>
      <c r="G9" s="474">
        <f t="shared" ref="G9:G16" si="1">F9*1.0736</f>
        <v>9554.2734496000012</v>
      </c>
      <c r="H9" s="474">
        <f t="shared" si="0"/>
        <v>8859.0473624000006</v>
      </c>
      <c r="J9" s="163" t="s">
        <v>345</v>
      </c>
      <c r="K9" s="38">
        <f>K8/K7</f>
        <v>9.1905614622043094E-2</v>
      </c>
      <c r="L9" s="38">
        <f>L8/L7</f>
        <v>9.2351389075037538E-2</v>
      </c>
      <c r="M9" s="38">
        <f>M8/M7</f>
        <v>9.2500000000000013E-2</v>
      </c>
      <c r="N9" s="38">
        <f>N8/N7</f>
        <v>9.2499999999999985E-2</v>
      </c>
    </row>
    <row r="10" spans="1:17">
      <c r="B10" s="33" t="s">
        <v>549</v>
      </c>
      <c r="C10" s="34" t="s">
        <v>17</v>
      </c>
      <c r="D10" s="474">
        <v>11605810.539999999</v>
      </c>
      <c r="E10" s="474">
        <v>12754902.4</v>
      </c>
      <c r="F10" s="474">
        <v>13483415.51</v>
      </c>
      <c r="G10" s="474">
        <f t="shared" si="1"/>
        <v>14475794.891536001</v>
      </c>
      <c r="H10" s="474">
        <f t="shared" si="0"/>
        <v>13079980.835384</v>
      </c>
      <c r="J10" s="135" t="s">
        <v>227</v>
      </c>
      <c r="K10" s="26"/>
    </row>
    <row r="11" spans="1:17">
      <c r="B11" s="33" t="s">
        <v>550</v>
      </c>
      <c r="C11" s="34" t="s">
        <v>17</v>
      </c>
      <c r="D11" s="474">
        <v>174637.26</v>
      </c>
      <c r="E11" s="474">
        <v>176320.68</v>
      </c>
      <c r="F11" s="474">
        <v>150629.81</v>
      </c>
      <c r="G11" s="474">
        <f t="shared" si="1"/>
        <v>161716.16401600002</v>
      </c>
      <c r="H11" s="474">
        <f t="shared" si="0"/>
        <v>165825.978504</v>
      </c>
    </row>
    <row r="12" spans="1:17">
      <c r="B12" s="33" t="s">
        <v>551</v>
      </c>
      <c r="C12" s="34" t="s">
        <v>17</v>
      </c>
      <c r="D12" s="474">
        <v>404441.95</v>
      </c>
      <c r="E12" s="474">
        <v>430355.35</v>
      </c>
      <c r="F12" s="474">
        <v>435121.81</v>
      </c>
      <c r="G12" s="474">
        <f t="shared" si="1"/>
        <v>467146.77521600004</v>
      </c>
      <c r="H12" s="474">
        <f t="shared" si="0"/>
        <v>434266.47130400001</v>
      </c>
    </row>
    <row r="13" spans="1:17">
      <c r="B13" s="33" t="s">
        <v>552</v>
      </c>
      <c r="C13" s="34" t="s">
        <v>17</v>
      </c>
      <c r="D13" s="474">
        <v>11634822.390000001</v>
      </c>
      <c r="E13" s="474">
        <v>11493179.390000001</v>
      </c>
      <c r="F13" s="474">
        <v>11186601.52</v>
      </c>
      <c r="G13" s="474">
        <f t="shared" si="1"/>
        <v>12009935.391872</v>
      </c>
      <c r="H13" s="474">
        <f t="shared" si="0"/>
        <v>11581134.672968</v>
      </c>
    </row>
    <row r="14" spans="1:17">
      <c r="B14" s="33" t="s">
        <v>553</v>
      </c>
      <c r="C14" s="34"/>
      <c r="D14" s="474">
        <v>7848.33</v>
      </c>
      <c r="E14" s="474">
        <v>9771.56</v>
      </c>
      <c r="F14" s="474">
        <v>17622.13</v>
      </c>
      <c r="G14" s="474">
        <f t="shared" si="1"/>
        <v>18919.118768000004</v>
      </c>
      <c r="H14" s="474">
        <f t="shared" si="0"/>
        <v>13540.284692000001</v>
      </c>
    </row>
    <row r="15" spans="1:17">
      <c r="B15" s="117" t="s">
        <v>132</v>
      </c>
      <c r="C15" s="34" t="s">
        <v>17</v>
      </c>
      <c r="D15" s="39">
        <f>SUM(D16:D24)</f>
        <v>2499097.0699999998</v>
      </c>
      <c r="E15" s="39">
        <f t="shared" ref="E15:G15" si="2">SUM(E16:E24)</f>
        <v>2621032.9300000002</v>
      </c>
      <c r="F15" s="39">
        <f t="shared" si="2"/>
        <v>2617847.79</v>
      </c>
      <c r="G15" s="39">
        <f t="shared" si="2"/>
        <v>2810521.3873440004</v>
      </c>
      <c r="H15" s="39">
        <f>SUM(H17:H24)</f>
        <v>0</v>
      </c>
    </row>
    <row r="16" spans="1:17">
      <c r="B16" s="33" t="s">
        <v>197</v>
      </c>
      <c r="C16" s="34"/>
      <c r="D16" s="474">
        <v>2499097.0699999998</v>
      </c>
      <c r="E16" s="474">
        <v>2621032.9300000002</v>
      </c>
      <c r="F16" s="474">
        <v>2617847.79</v>
      </c>
      <c r="G16" s="474">
        <f t="shared" si="1"/>
        <v>2810521.3873440004</v>
      </c>
      <c r="H16" s="474">
        <f>AVERAGE(D16:G16)</f>
        <v>2637124.794336</v>
      </c>
    </row>
    <row r="17" spans="2:8">
      <c r="B17" s="33" t="s">
        <v>131</v>
      </c>
      <c r="C17" s="34" t="s">
        <v>17</v>
      </c>
      <c r="D17" s="35">
        <v>0</v>
      </c>
      <c r="E17" s="35">
        <v>0</v>
      </c>
      <c r="F17" s="35">
        <v>0</v>
      </c>
      <c r="G17" s="35">
        <v>0</v>
      </c>
      <c r="H17" s="35">
        <f>AVERAGE(D17:G17)</f>
        <v>0</v>
      </c>
    </row>
    <row r="18" spans="2:8">
      <c r="B18" s="33" t="s">
        <v>130</v>
      </c>
      <c r="C18" s="34" t="s">
        <v>17</v>
      </c>
      <c r="D18" s="35">
        <v>0</v>
      </c>
      <c r="E18" s="35">
        <v>0</v>
      </c>
      <c r="F18" s="35">
        <v>0</v>
      </c>
      <c r="G18" s="35">
        <v>0</v>
      </c>
      <c r="H18" s="35">
        <f t="shared" ref="H18:H24" si="3">AVERAGE(D18:G18)</f>
        <v>0</v>
      </c>
    </row>
    <row r="19" spans="2:8">
      <c r="B19" s="33" t="s">
        <v>129</v>
      </c>
      <c r="C19" s="34" t="s">
        <v>17</v>
      </c>
      <c r="D19" s="35">
        <v>0</v>
      </c>
      <c r="E19" s="35">
        <v>0</v>
      </c>
      <c r="F19" s="35">
        <v>0</v>
      </c>
      <c r="G19" s="35">
        <v>0</v>
      </c>
      <c r="H19" s="35">
        <f t="shared" si="3"/>
        <v>0</v>
      </c>
    </row>
    <row r="20" spans="2:8">
      <c r="B20" s="33" t="s">
        <v>128</v>
      </c>
      <c r="C20" s="34" t="s">
        <v>17</v>
      </c>
      <c r="D20" s="35">
        <v>0</v>
      </c>
      <c r="E20" s="35">
        <v>0</v>
      </c>
      <c r="F20" s="35">
        <v>0</v>
      </c>
      <c r="G20" s="35">
        <v>0</v>
      </c>
      <c r="H20" s="35">
        <f t="shared" si="3"/>
        <v>0</v>
      </c>
    </row>
    <row r="21" spans="2:8">
      <c r="B21" s="33" t="s">
        <v>127</v>
      </c>
      <c r="C21" s="34" t="s">
        <v>17</v>
      </c>
      <c r="D21" s="35">
        <v>0</v>
      </c>
      <c r="E21" s="35">
        <v>0</v>
      </c>
      <c r="F21" s="35">
        <v>0</v>
      </c>
      <c r="G21" s="35">
        <v>0</v>
      </c>
      <c r="H21" s="35">
        <f t="shared" si="3"/>
        <v>0</v>
      </c>
    </row>
    <row r="22" spans="2:8">
      <c r="B22" s="33" t="s">
        <v>126</v>
      </c>
      <c r="C22" s="34" t="s">
        <v>17</v>
      </c>
      <c r="D22" s="35">
        <v>0</v>
      </c>
      <c r="E22" s="35">
        <v>0</v>
      </c>
      <c r="F22" s="35">
        <v>0</v>
      </c>
      <c r="G22" s="35">
        <v>0</v>
      </c>
      <c r="H22" s="35">
        <f t="shared" si="3"/>
        <v>0</v>
      </c>
    </row>
    <row r="23" spans="2:8">
      <c r="B23" s="33" t="s">
        <v>125</v>
      </c>
      <c r="C23" s="34" t="s">
        <v>17</v>
      </c>
      <c r="D23" s="35">
        <v>0</v>
      </c>
      <c r="E23" s="35">
        <v>0</v>
      </c>
      <c r="F23" s="35">
        <v>0</v>
      </c>
      <c r="G23" s="35">
        <v>0</v>
      </c>
      <c r="H23" s="35">
        <f t="shared" si="3"/>
        <v>0</v>
      </c>
    </row>
    <row r="24" spans="2:8">
      <c r="B24" s="33" t="s">
        <v>124</v>
      </c>
      <c r="C24" s="34" t="s">
        <v>17</v>
      </c>
      <c r="D24" s="35">
        <v>0</v>
      </c>
      <c r="E24" s="35">
        <v>0</v>
      </c>
      <c r="F24" s="35">
        <v>0</v>
      </c>
      <c r="G24" s="35">
        <v>0</v>
      </c>
      <c r="H24" s="35">
        <f t="shared" si="3"/>
        <v>0</v>
      </c>
    </row>
    <row r="25" spans="2:8">
      <c r="B25" s="37" t="s">
        <v>150</v>
      </c>
      <c r="C25" s="38" t="s">
        <v>17</v>
      </c>
      <c r="D25" s="39">
        <f>SUM(D7,D15)</f>
        <v>31676189.329999998</v>
      </c>
      <c r="E25" s="39">
        <f>SUM(E7,E15)</f>
        <v>32882771.830000002</v>
      </c>
      <c r="F25" s="39">
        <f>SUM(F7,F15)</f>
        <v>38832517.875999995</v>
      </c>
      <c r="G25" s="39">
        <f>SUM(G7,G15)</f>
        <v>36050629.298217602</v>
      </c>
      <c r="H25" s="39">
        <f>SUM(H7,H15)</f>
        <v>30910072.861718398</v>
      </c>
    </row>
    <row r="26" spans="2:8">
      <c r="B26" s="37" t="s">
        <v>342</v>
      </c>
      <c r="C26" s="38" t="s">
        <v>17</v>
      </c>
      <c r="D26" s="39">
        <f>D38</f>
        <v>642496166.01999998</v>
      </c>
      <c r="E26" s="39">
        <f t="shared" ref="E26:G26" si="4">E38</f>
        <v>669251042.13000011</v>
      </c>
      <c r="F26" s="39">
        <f t="shared" si="4"/>
        <v>738895937.33000004</v>
      </c>
      <c r="G26" s="39">
        <f t="shared" si="4"/>
        <v>798007612.31640005</v>
      </c>
      <c r="H26" s="39">
        <f>AVERAGE(D26:G26)</f>
        <v>712162689.44910002</v>
      </c>
    </row>
    <row r="27" spans="2:8">
      <c r="B27" s="626"/>
      <c r="C27" s="626"/>
      <c r="D27" s="626"/>
      <c r="E27" s="626"/>
      <c r="F27" s="626"/>
      <c r="G27" s="626"/>
      <c r="H27" s="626"/>
    </row>
    <row r="28" spans="2:8">
      <c r="B28" s="41"/>
      <c r="C28" s="41"/>
      <c r="D28" s="41"/>
      <c r="E28" s="41"/>
      <c r="F28" s="41"/>
      <c r="G28" s="41"/>
      <c r="H28" s="41"/>
    </row>
    <row r="29" spans="2:8">
      <c r="B29" s="32" t="s">
        <v>139</v>
      </c>
      <c r="C29" s="32" t="s">
        <v>49</v>
      </c>
      <c r="D29" s="29">
        <v>2020</v>
      </c>
      <c r="E29" s="29">
        <v>2021</v>
      </c>
      <c r="F29" s="29">
        <v>2022</v>
      </c>
      <c r="G29" s="29">
        <v>2023</v>
      </c>
      <c r="H29" s="129">
        <v>2024</v>
      </c>
    </row>
    <row r="30" spans="2:8">
      <c r="B30" s="33" t="s">
        <v>157</v>
      </c>
      <c r="C30" s="34" t="s">
        <v>59</v>
      </c>
      <c r="D30" s="35">
        <v>518149</v>
      </c>
      <c r="E30" s="35">
        <v>525266</v>
      </c>
      <c r="F30" s="35">
        <v>538433</v>
      </c>
      <c r="G30" s="35">
        <v>546485.7142857142</v>
      </c>
      <c r="H30" s="35">
        <v>558049.04761904769</v>
      </c>
    </row>
    <row r="31" spans="2:8">
      <c r="B31" s="33" t="s">
        <v>156</v>
      </c>
      <c r="C31" s="34" t="s">
        <v>59</v>
      </c>
      <c r="D31" s="35"/>
      <c r="E31" s="35">
        <f>E30-D30</f>
        <v>7117</v>
      </c>
      <c r="F31" s="35">
        <f>F30-E30</f>
        <v>13167</v>
      </c>
      <c r="G31" s="35">
        <f>G30-F30</f>
        <v>8052.7142857142026</v>
      </c>
      <c r="H31" s="35">
        <f>H30-G30</f>
        <v>11563.333333333489</v>
      </c>
    </row>
    <row r="32" spans="2:8">
      <c r="B32" s="33" t="s">
        <v>155</v>
      </c>
      <c r="C32" s="34" t="s">
        <v>17</v>
      </c>
      <c r="D32" s="35"/>
      <c r="E32" s="475">
        <v>259.35000000000002</v>
      </c>
      <c r="F32" s="475">
        <v>259.35000000000002</v>
      </c>
      <c r="G32" s="475">
        <v>259.35000000000002</v>
      </c>
      <c r="H32" s="475">
        <v>259.35000000000002</v>
      </c>
    </row>
    <row r="33" spans="2:8">
      <c r="B33" s="33" t="s">
        <v>154</v>
      </c>
      <c r="C33" s="34" t="s">
        <v>17</v>
      </c>
      <c r="D33" s="35"/>
      <c r="E33" s="35">
        <f>E31*E32</f>
        <v>1845793.9500000002</v>
      </c>
      <c r="F33" s="35">
        <f>F31*F32</f>
        <v>3414861.45</v>
      </c>
      <c r="G33" s="35">
        <f>G31*G32</f>
        <v>2088471.4499999785</v>
      </c>
      <c r="H33" s="35">
        <f>H31*H32</f>
        <v>2998950.5000000405</v>
      </c>
    </row>
    <row r="34" spans="2:8">
      <c r="B34" s="30" t="s">
        <v>385</v>
      </c>
      <c r="C34" s="30"/>
      <c r="D34" s="30"/>
      <c r="E34" s="30"/>
      <c r="F34" s="30"/>
      <c r="G34" s="30"/>
      <c r="H34" s="30"/>
    </row>
    <row r="35" spans="2:8">
      <c r="B35" s="41"/>
      <c r="C35" s="41"/>
      <c r="D35" s="41"/>
      <c r="E35" s="41"/>
      <c r="F35" s="41"/>
      <c r="G35" s="41"/>
      <c r="H35" s="41"/>
    </row>
    <row r="36" spans="2:8">
      <c r="B36" s="32" t="s">
        <v>139</v>
      </c>
      <c r="C36" s="32" t="s">
        <v>49</v>
      </c>
      <c r="D36" s="29">
        <v>2021</v>
      </c>
      <c r="E36" s="29">
        <v>2022</v>
      </c>
      <c r="F36" s="29">
        <v>2023</v>
      </c>
      <c r="G36" s="29">
        <v>2024</v>
      </c>
    </row>
    <row r="37" spans="2:8">
      <c r="B37" s="33" t="s">
        <v>427</v>
      </c>
      <c r="C37" s="34" t="s">
        <v>17</v>
      </c>
      <c r="D37" s="35">
        <f>574026000+138542000</f>
        <v>712568000</v>
      </c>
      <c r="E37" s="35">
        <f>605808000+132849000</f>
        <v>738657000</v>
      </c>
      <c r="F37" s="35">
        <f>F38*1.105</f>
        <v>816480010.74965</v>
      </c>
      <c r="G37" s="35">
        <f>G38*1.105</f>
        <v>881798411.609622</v>
      </c>
    </row>
    <row r="38" spans="2:8">
      <c r="B38" s="33" t="s">
        <v>428</v>
      </c>
      <c r="C38" s="34" t="s">
        <v>17</v>
      </c>
      <c r="D38" s="35">
        <f>INDEX('Informações TAI'!$Z$3:$Z$7,MATCH(D36,'Informações TAI'!$X$3:$X$7,0))</f>
        <v>642496166.01999998</v>
      </c>
      <c r="E38" s="35">
        <f>INDEX('Informações TAI'!$Z$3:$Z$7,MATCH(E36,'Informações TAI'!$X$3:$X$7,0))</f>
        <v>669251042.13000011</v>
      </c>
      <c r="F38" s="35">
        <f>INDEX('Informações TAI'!$Z$3:$Z$7,MATCH(F36,'Informações TAI'!$X$3:$X$7,0))</f>
        <v>738895937.33000004</v>
      </c>
      <c r="G38" s="35">
        <f>INDEX('Informações TAI'!$Z$3:$Z$8,MATCH(G36,'Informações TAI'!$X$3:$X$8,0))</f>
        <v>798007612.31640005</v>
      </c>
    </row>
    <row r="39" spans="2:8">
      <c r="B39" s="30"/>
      <c r="C39" s="30"/>
      <c r="D39" s="30"/>
      <c r="E39" s="30"/>
      <c r="F39" s="30"/>
      <c r="G39" s="30"/>
    </row>
    <row r="40" spans="2:8">
      <c r="B40" s="41"/>
      <c r="C40" s="41"/>
      <c r="D40" s="41"/>
      <c r="E40" s="41"/>
      <c r="F40" s="41"/>
      <c r="G40" s="41"/>
      <c r="H40" s="41"/>
    </row>
    <row r="41" spans="2:8">
      <c r="D41" s="283">
        <f>-(D38/D37-1)</f>
        <v>9.8337048506247804E-2</v>
      </c>
      <c r="E41" s="283">
        <f t="shared" ref="E41:F41" si="5">-(E38/E37-1)</f>
        <v>9.3962363952416195E-2</v>
      </c>
      <c r="F41" s="283">
        <f t="shared" si="5"/>
        <v>9.5022624434389136E-2</v>
      </c>
      <c r="G41" s="283">
        <f>-(G38/G37-1)</f>
        <v>9.5022624434389136E-2</v>
      </c>
      <c r="H41" s="283">
        <f>AVERAGE(D41:G41)</f>
        <v>9.5586165331860568E-2</v>
      </c>
    </row>
    <row r="42" spans="2:8"/>
    <row r="43" spans="2:8"/>
    <row r="44" spans="2:8"/>
  </sheetData>
  <sheetProtection algorithmName="SHA-512" hashValue="/CKW/locHfBvXCljPKX1jxZxdiXh66WIWrc9gF0nWBRbWMVe/+57Ty4ZxSBFFXDeDYh8K5AncmNH0OBUvXNEZg==" saltValue="6W/CD+/YwYy0tnYmD+GenQ==" spinCount="100000" sheet="1" objects="1" scenarios="1" selectLockedCells="1" selectUnlockedCells="1"/>
  <mergeCells count="3">
    <mergeCell ref="D5:H5"/>
    <mergeCell ref="A1:B1"/>
    <mergeCell ref="B27:H27"/>
  </mergeCells>
  <conditionalFormatting sqref="D35:G35">
    <cfRule type="expression" dxfId="30" priority="2">
      <formula>D35&lt;0</formula>
    </cfRule>
  </conditionalFormatting>
  <conditionalFormatting sqref="D37:G39">
    <cfRule type="expression" dxfId="29" priority="4">
      <formula>D37&lt;0</formula>
    </cfRule>
  </conditionalFormatting>
  <conditionalFormatting sqref="D7:H14 D15:G15 H15:H24 D16:H16 D17:G26 D25:H25 H29 D30:H33">
    <cfRule type="expression" dxfId="28" priority="12">
      <formula>D7&lt;0</formula>
    </cfRule>
  </conditionalFormatting>
  <conditionalFormatting sqref="H26">
    <cfRule type="expression" dxfId="27" priority="7">
      <formula>H26&lt;0</formula>
    </cfRule>
  </conditionalFormatting>
  <conditionalFormatting sqref="J15:L19">
    <cfRule type="expression" dxfId="26" priority="5">
      <formula>J15&lt;0</formula>
    </cfRule>
  </conditionalFormatting>
  <conditionalFormatting sqref="J13:N14">
    <cfRule type="expression" dxfId="25" priority="3">
      <formula>J13&lt;0</formula>
    </cfRule>
  </conditionalFormatting>
  <conditionalFormatting sqref="K6:N9">
    <cfRule type="expression" dxfId="24" priority="6">
      <formula>K6&lt;0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>
    <tabColor rgb="FFC00000"/>
  </sheetPr>
  <dimension ref="B2:H382"/>
  <sheetViews>
    <sheetView showGridLines="0" workbookViewId="0">
      <selection activeCell="B3" sqref="B3:F381"/>
    </sheetView>
  </sheetViews>
  <sheetFormatPr defaultRowHeight="15"/>
  <cols>
    <col min="1" max="1" width="3.85546875" customWidth="1"/>
    <col min="2" max="2" width="17.85546875" customWidth="1"/>
    <col min="3" max="3" width="7.85546875" bestFit="1" customWidth="1"/>
    <col min="4" max="4" width="7.140625" bestFit="1" customWidth="1"/>
    <col min="5" max="5" width="6.85546875" bestFit="1" customWidth="1"/>
    <col min="6" max="6" width="8.5703125" bestFit="1" customWidth="1"/>
    <col min="7" max="7" width="46.7109375" customWidth="1"/>
    <col min="8" max="8" width="6.140625" customWidth="1"/>
  </cols>
  <sheetData>
    <row r="2" spans="2:6" ht="15.75">
      <c r="B2" s="629" t="s">
        <v>34</v>
      </c>
      <c r="C2" s="629"/>
      <c r="D2" s="629"/>
      <c r="E2" s="629"/>
      <c r="F2" s="629"/>
    </row>
    <row r="3" spans="2:6">
      <c r="B3" s="630" t="s">
        <v>35</v>
      </c>
      <c r="C3" s="630" t="s">
        <v>36</v>
      </c>
      <c r="D3" s="632" t="s">
        <v>37</v>
      </c>
      <c r="E3" s="633"/>
      <c r="F3" s="634"/>
    </row>
    <row r="4" spans="2:6">
      <c r="B4" s="631"/>
      <c r="C4" s="631"/>
      <c r="D4" s="32" t="s">
        <v>38</v>
      </c>
      <c r="E4" s="32" t="s">
        <v>39</v>
      </c>
      <c r="F4" s="32" t="s">
        <v>40</v>
      </c>
    </row>
    <row r="5" spans="2:6" hidden="1">
      <c r="B5" s="266">
        <v>34547</v>
      </c>
      <c r="C5" s="256">
        <v>932.97</v>
      </c>
      <c r="D5" s="256">
        <v>1.86</v>
      </c>
      <c r="E5" s="256">
        <v>832.97</v>
      </c>
      <c r="F5" s="256">
        <v>3044.89</v>
      </c>
    </row>
    <row r="6" spans="2:6" hidden="1">
      <c r="B6" s="266">
        <v>34578</v>
      </c>
      <c r="C6" s="256">
        <v>947.24</v>
      </c>
      <c r="D6" s="256">
        <v>1.53</v>
      </c>
      <c r="E6" s="256">
        <v>847.24</v>
      </c>
      <c r="F6" s="256">
        <v>2253.15</v>
      </c>
    </row>
    <row r="7" spans="2:6" hidden="1">
      <c r="B7" s="266">
        <v>34608</v>
      </c>
      <c r="C7" s="256">
        <v>972.06</v>
      </c>
      <c r="D7" s="256">
        <v>2.62</v>
      </c>
      <c r="E7" s="256">
        <v>872.06</v>
      </c>
      <c r="F7" s="256">
        <v>1703.17</v>
      </c>
    </row>
    <row r="8" spans="2:6" hidden="1">
      <c r="B8" s="266">
        <v>34639</v>
      </c>
      <c r="C8" s="256">
        <v>999.37</v>
      </c>
      <c r="D8" s="256">
        <v>2.81</v>
      </c>
      <c r="E8" s="256">
        <v>899.37</v>
      </c>
      <c r="F8" s="256">
        <v>1267.54</v>
      </c>
    </row>
    <row r="9" spans="2:6" hidden="1">
      <c r="B9" s="266">
        <v>34669</v>
      </c>
      <c r="C9" s="256">
        <v>1016.46</v>
      </c>
      <c r="D9" s="256">
        <v>1.71</v>
      </c>
      <c r="E9" s="256">
        <v>916.46</v>
      </c>
      <c r="F9" s="256">
        <v>916.46</v>
      </c>
    </row>
    <row r="10" spans="2:6" hidden="1">
      <c r="B10" s="266">
        <v>34700</v>
      </c>
      <c r="C10" s="256">
        <v>1033.74</v>
      </c>
      <c r="D10" s="256">
        <v>1.7</v>
      </c>
      <c r="E10" s="256">
        <v>1.7</v>
      </c>
      <c r="F10" s="256">
        <v>631.54</v>
      </c>
    </row>
    <row r="11" spans="2:6" hidden="1">
      <c r="B11" s="266">
        <v>34731</v>
      </c>
      <c r="C11" s="256">
        <v>1044.28</v>
      </c>
      <c r="D11" s="256">
        <v>1.02</v>
      </c>
      <c r="E11" s="256">
        <v>2.74</v>
      </c>
      <c r="F11" s="256">
        <v>426.83</v>
      </c>
    </row>
    <row r="12" spans="2:6" hidden="1">
      <c r="B12" s="266">
        <v>34759</v>
      </c>
      <c r="C12" s="256">
        <v>1060.47</v>
      </c>
      <c r="D12" s="256">
        <v>1.55</v>
      </c>
      <c r="E12" s="256">
        <v>4.33</v>
      </c>
      <c r="F12" s="256">
        <v>274.77999999999997</v>
      </c>
    </row>
    <row r="13" spans="2:6" hidden="1">
      <c r="B13" s="266">
        <v>34790</v>
      </c>
      <c r="C13" s="256">
        <v>1086.24</v>
      </c>
      <c r="D13" s="256">
        <v>2.4300000000000002</v>
      </c>
      <c r="E13" s="256">
        <v>6.87</v>
      </c>
      <c r="F13" s="256">
        <v>169.05</v>
      </c>
    </row>
    <row r="14" spans="2:6" hidden="1">
      <c r="B14" s="266">
        <v>34820</v>
      </c>
      <c r="C14" s="256">
        <v>1115.24</v>
      </c>
      <c r="D14" s="256">
        <v>2.67</v>
      </c>
      <c r="E14" s="256">
        <v>9.7200000000000006</v>
      </c>
      <c r="F14" s="256">
        <v>91.79</v>
      </c>
    </row>
    <row r="15" spans="2:6" hidden="1">
      <c r="B15" s="266">
        <v>34851</v>
      </c>
      <c r="C15" s="256">
        <v>1140.44</v>
      </c>
      <c r="D15" s="256">
        <v>2.2599999999999998</v>
      </c>
      <c r="E15" s="256">
        <v>12.2</v>
      </c>
      <c r="F15" s="256">
        <v>33.03</v>
      </c>
    </row>
    <row r="16" spans="2:6" hidden="1">
      <c r="B16" s="266">
        <v>34881</v>
      </c>
      <c r="C16" s="256">
        <v>1167.3499999999999</v>
      </c>
      <c r="D16" s="256">
        <v>2.36</v>
      </c>
      <c r="E16" s="256">
        <v>14.84</v>
      </c>
      <c r="F16" s="256">
        <v>27.45</v>
      </c>
    </row>
    <row r="17" spans="2:6" hidden="1">
      <c r="B17" s="266">
        <v>34912</v>
      </c>
      <c r="C17" s="256">
        <v>1178.9100000000001</v>
      </c>
      <c r="D17" s="256">
        <v>0.99</v>
      </c>
      <c r="E17" s="256">
        <v>15.98</v>
      </c>
      <c r="F17" s="256">
        <v>26.36</v>
      </c>
    </row>
    <row r="18" spans="2:6" hidden="1">
      <c r="B18" s="266">
        <v>34943</v>
      </c>
      <c r="C18" s="256">
        <v>1190.58</v>
      </c>
      <c r="D18" s="256">
        <v>0.99</v>
      </c>
      <c r="E18" s="256">
        <v>17.13</v>
      </c>
      <c r="F18" s="256">
        <v>25.69</v>
      </c>
    </row>
    <row r="19" spans="2:6" hidden="1">
      <c r="B19" s="266">
        <v>34973</v>
      </c>
      <c r="C19" s="256">
        <v>1207.3699999999999</v>
      </c>
      <c r="D19" s="256">
        <v>1.41</v>
      </c>
      <c r="E19" s="256">
        <v>18.78</v>
      </c>
      <c r="F19" s="256">
        <v>24.21</v>
      </c>
    </row>
    <row r="20" spans="2:6" hidden="1">
      <c r="B20" s="266">
        <v>35004</v>
      </c>
      <c r="C20" s="256">
        <v>1225.1199999999999</v>
      </c>
      <c r="D20" s="256">
        <v>1.47</v>
      </c>
      <c r="E20" s="256">
        <v>20.53</v>
      </c>
      <c r="F20" s="256">
        <v>22.59</v>
      </c>
    </row>
    <row r="21" spans="2:6" hidden="1">
      <c r="B21" s="266">
        <v>35034</v>
      </c>
      <c r="C21" s="256">
        <v>1244.23</v>
      </c>
      <c r="D21" s="256">
        <v>1.56</v>
      </c>
      <c r="E21" s="256">
        <v>22.41</v>
      </c>
      <c r="F21" s="256">
        <v>22.41</v>
      </c>
    </row>
    <row r="22" spans="2:6" hidden="1">
      <c r="B22" s="266">
        <v>35065</v>
      </c>
      <c r="C22" s="256">
        <v>1260.9000000000001</v>
      </c>
      <c r="D22" s="256">
        <v>1.34</v>
      </c>
      <c r="E22" s="256">
        <v>1.34</v>
      </c>
      <c r="F22" s="256">
        <v>21.97</v>
      </c>
    </row>
    <row r="23" spans="2:6" hidden="1">
      <c r="B23" s="266">
        <v>35096</v>
      </c>
      <c r="C23" s="256">
        <v>1273.8900000000001</v>
      </c>
      <c r="D23" s="256">
        <v>1.03</v>
      </c>
      <c r="E23" s="256">
        <v>2.38</v>
      </c>
      <c r="F23" s="256">
        <v>21.99</v>
      </c>
    </row>
    <row r="24" spans="2:6" hidden="1">
      <c r="B24" s="266">
        <v>35125</v>
      </c>
      <c r="C24" s="256">
        <v>1278.3499999999999</v>
      </c>
      <c r="D24" s="256">
        <v>0.35</v>
      </c>
      <c r="E24" s="256">
        <v>2.74</v>
      </c>
      <c r="F24" s="256">
        <v>20.55</v>
      </c>
    </row>
    <row r="25" spans="2:6" hidden="1">
      <c r="B25" s="266">
        <v>35156</v>
      </c>
      <c r="C25" s="256">
        <v>1294.46</v>
      </c>
      <c r="D25" s="256">
        <v>1.26</v>
      </c>
      <c r="E25" s="256">
        <v>4.04</v>
      </c>
      <c r="F25" s="256">
        <v>19.170000000000002</v>
      </c>
    </row>
    <row r="26" spans="2:6" hidden="1">
      <c r="B26" s="266">
        <v>35186</v>
      </c>
      <c r="C26" s="256">
        <v>1310.25</v>
      </c>
      <c r="D26" s="256">
        <v>1.22</v>
      </c>
      <c r="E26" s="256">
        <v>5.31</v>
      </c>
      <c r="F26" s="256">
        <v>17.489999999999998</v>
      </c>
    </row>
    <row r="27" spans="2:6" hidden="1">
      <c r="B27" s="266">
        <v>35217</v>
      </c>
      <c r="C27" s="256">
        <v>1325.84</v>
      </c>
      <c r="D27" s="256">
        <v>1.19</v>
      </c>
      <c r="E27" s="256">
        <v>6.56</v>
      </c>
      <c r="F27" s="256">
        <v>16.260000000000002</v>
      </c>
    </row>
    <row r="28" spans="2:6" hidden="1">
      <c r="B28" s="266">
        <v>35247</v>
      </c>
      <c r="C28" s="256">
        <v>1340.56</v>
      </c>
      <c r="D28" s="256">
        <v>1.1100000000000001</v>
      </c>
      <c r="E28" s="256">
        <v>7.74</v>
      </c>
      <c r="F28" s="256">
        <v>14.84</v>
      </c>
    </row>
    <row r="29" spans="2:6" hidden="1">
      <c r="B29" s="266">
        <v>35278</v>
      </c>
      <c r="C29" s="256">
        <v>1346.46</v>
      </c>
      <c r="D29" s="256">
        <v>0.44</v>
      </c>
      <c r="E29" s="256">
        <v>8.2200000000000006</v>
      </c>
      <c r="F29" s="256">
        <v>14.21</v>
      </c>
    </row>
    <row r="30" spans="2:6" hidden="1">
      <c r="B30" s="266">
        <v>35309</v>
      </c>
      <c r="C30" s="256">
        <v>1348.48</v>
      </c>
      <c r="D30" s="256">
        <v>0.15</v>
      </c>
      <c r="E30" s="256">
        <v>8.3800000000000008</v>
      </c>
      <c r="F30" s="256">
        <v>13.26</v>
      </c>
    </row>
    <row r="31" spans="2:6" hidden="1">
      <c r="B31" s="266">
        <v>35339</v>
      </c>
      <c r="C31" s="256">
        <v>1352.53</v>
      </c>
      <c r="D31" s="256">
        <v>0.3</v>
      </c>
      <c r="E31" s="256">
        <v>8.6999999999999993</v>
      </c>
      <c r="F31" s="256">
        <v>12.02</v>
      </c>
    </row>
    <row r="32" spans="2:6" hidden="1">
      <c r="B32" s="266">
        <v>35370</v>
      </c>
      <c r="C32" s="256">
        <v>1356.86</v>
      </c>
      <c r="D32" s="256">
        <v>0.32</v>
      </c>
      <c r="E32" s="256">
        <v>9.0500000000000007</v>
      </c>
      <c r="F32" s="256">
        <v>10.75</v>
      </c>
    </row>
    <row r="33" spans="2:6" hidden="1">
      <c r="B33" s="266">
        <v>35400</v>
      </c>
      <c r="C33" s="256">
        <v>1363.24</v>
      </c>
      <c r="D33" s="256">
        <v>0.47</v>
      </c>
      <c r="E33" s="256">
        <v>9.56</v>
      </c>
      <c r="F33" s="256">
        <v>9.56</v>
      </c>
    </row>
    <row r="34" spans="2:6" hidden="1">
      <c r="B34" s="266">
        <v>35431</v>
      </c>
      <c r="C34" s="256">
        <v>1379.33</v>
      </c>
      <c r="D34" s="256">
        <v>1.18</v>
      </c>
      <c r="E34" s="256">
        <v>1.18</v>
      </c>
      <c r="F34" s="256">
        <v>9.39</v>
      </c>
    </row>
    <row r="35" spans="2:6" hidden="1">
      <c r="B35" s="266">
        <v>35462</v>
      </c>
      <c r="C35" s="256">
        <v>1386.23</v>
      </c>
      <c r="D35" s="256">
        <v>0.5</v>
      </c>
      <c r="E35" s="256">
        <v>1.69</v>
      </c>
      <c r="F35" s="256">
        <v>8.82</v>
      </c>
    </row>
    <row r="36" spans="2:6" hidden="1">
      <c r="B36" s="266">
        <v>35490</v>
      </c>
      <c r="C36" s="256">
        <v>1393.3</v>
      </c>
      <c r="D36" s="256">
        <v>0.51</v>
      </c>
      <c r="E36" s="256">
        <v>2.21</v>
      </c>
      <c r="F36" s="256">
        <v>8.99</v>
      </c>
    </row>
    <row r="37" spans="2:6" hidden="1">
      <c r="B37" s="266">
        <v>35521</v>
      </c>
      <c r="C37" s="256">
        <v>1405.56</v>
      </c>
      <c r="D37" s="256">
        <v>0.88</v>
      </c>
      <c r="E37" s="256">
        <v>3.1</v>
      </c>
      <c r="F37" s="256">
        <v>8.58</v>
      </c>
    </row>
    <row r="38" spans="2:6" hidden="1">
      <c r="B38" s="266">
        <v>35551</v>
      </c>
      <c r="C38" s="256">
        <v>1411.32</v>
      </c>
      <c r="D38" s="256">
        <v>0.41</v>
      </c>
      <c r="E38" s="256">
        <v>3.53</v>
      </c>
      <c r="F38" s="256">
        <v>7.71</v>
      </c>
    </row>
    <row r="39" spans="2:6" hidden="1">
      <c r="B39" s="266">
        <v>35582</v>
      </c>
      <c r="C39" s="256">
        <v>1418.94</v>
      </c>
      <c r="D39" s="256">
        <v>0.54</v>
      </c>
      <c r="E39" s="256">
        <v>4.09</v>
      </c>
      <c r="F39" s="256">
        <v>7.02</v>
      </c>
    </row>
    <row r="40" spans="2:6" hidden="1">
      <c r="B40" s="266">
        <v>35612</v>
      </c>
      <c r="C40" s="256">
        <v>1422.06</v>
      </c>
      <c r="D40" s="256">
        <v>0.22</v>
      </c>
      <c r="E40" s="256">
        <v>4.3099999999999996</v>
      </c>
      <c r="F40" s="256">
        <v>6.08</v>
      </c>
    </row>
    <row r="41" spans="2:6" hidden="1">
      <c r="B41" s="266">
        <v>35643</v>
      </c>
      <c r="C41" s="256">
        <v>1421.78</v>
      </c>
      <c r="D41" s="256">
        <v>-0.02</v>
      </c>
      <c r="E41" s="256">
        <v>4.29</v>
      </c>
      <c r="F41" s="256">
        <v>5.59</v>
      </c>
    </row>
    <row r="42" spans="2:6" hidden="1">
      <c r="B42" s="266">
        <v>35674</v>
      </c>
      <c r="C42" s="256">
        <v>1422.63</v>
      </c>
      <c r="D42" s="256">
        <v>0.06</v>
      </c>
      <c r="E42" s="256">
        <v>4.3600000000000003</v>
      </c>
      <c r="F42" s="256">
        <v>5.5</v>
      </c>
    </row>
    <row r="43" spans="2:6" hidden="1">
      <c r="B43" s="266">
        <v>35704</v>
      </c>
      <c r="C43" s="256">
        <v>1425.9</v>
      </c>
      <c r="D43" s="256">
        <v>0.23</v>
      </c>
      <c r="E43" s="256">
        <v>4.5999999999999996</v>
      </c>
      <c r="F43" s="256">
        <v>5.42</v>
      </c>
    </row>
    <row r="44" spans="2:6" hidden="1">
      <c r="B44" s="266">
        <v>35735</v>
      </c>
      <c r="C44" s="256">
        <v>1428.32</v>
      </c>
      <c r="D44" s="256">
        <v>0.17</v>
      </c>
      <c r="E44" s="256">
        <v>4.7699999999999996</v>
      </c>
      <c r="F44" s="256">
        <v>5.27</v>
      </c>
    </row>
    <row r="45" spans="2:6" hidden="1">
      <c r="B45" s="266">
        <v>35765</v>
      </c>
      <c r="C45" s="256">
        <v>1434.46</v>
      </c>
      <c r="D45" s="256">
        <v>0.43</v>
      </c>
      <c r="E45" s="256">
        <v>5.22</v>
      </c>
      <c r="F45" s="256">
        <v>5.22</v>
      </c>
    </row>
    <row r="46" spans="2:6" hidden="1">
      <c r="B46" s="266">
        <v>35796</v>
      </c>
      <c r="C46" s="256">
        <v>1444.64</v>
      </c>
      <c r="D46" s="256">
        <v>0.71</v>
      </c>
      <c r="E46" s="256">
        <v>0.71</v>
      </c>
      <c r="F46" s="256">
        <v>4.7300000000000004</v>
      </c>
    </row>
    <row r="47" spans="2:6" hidden="1">
      <c r="B47" s="266">
        <v>35827</v>
      </c>
      <c r="C47" s="256">
        <v>1451.29</v>
      </c>
      <c r="D47" s="256">
        <v>0.46</v>
      </c>
      <c r="E47" s="256">
        <v>1.17</v>
      </c>
      <c r="F47" s="256">
        <v>4.6900000000000004</v>
      </c>
    </row>
    <row r="48" spans="2:6" hidden="1">
      <c r="B48" s="266">
        <v>35855</v>
      </c>
      <c r="C48" s="256">
        <v>1456.22</v>
      </c>
      <c r="D48" s="256">
        <v>0.34</v>
      </c>
      <c r="E48" s="256">
        <v>1.52</v>
      </c>
      <c r="F48" s="256">
        <v>4.5199999999999996</v>
      </c>
    </row>
    <row r="49" spans="2:6" hidden="1">
      <c r="B49" s="266">
        <v>35886</v>
      </c>
      <c r="C49" s="256">
        <v>1459.71</v>
      </c>
      <c r="D49" s="256">
        <v>0.24</v>
      </c>
      <c r="E49" s="256">
        <v>1.76</v>
      </c>
      <c r="F49" s="256">
        <v>3.85</v>
      </c>
    </row>
    <row r="50" spans="2:6" hidden="1">
      <c r="B50" s="266">
        <v>35916</v>
      </c>
      <c r="C50" s="256">
        <v>1467.01</v>
      </c>
      <c r="D50" s="256">
        <v>0.5</v>
      </c>
      <c r="E50" s="256">
        <v>2.27</v>
      </c>
      <c r="F50" s="256">
        <v>3.95</v>
      </c>
    </row>
    <row r="51" spans="2:6" hidden="1">
      <c r="B51" s="266">
        <v>35947</v>
      </c>
      <c r="C51" s="256">
        <v>1467.3</v>
      </c>
      <c r="D51" s="256">
        <v>0.02</v>
      </c>
      <c r="E51" s="256">
        <v>2.29</v>
      </c>
      <c r="F51" s="256">
        <v>3.41</v>
      </c>
    </row>
    <row r="52" spans="2:6" hidden="1">
      <c r="B52" s="266">
        <v>35977</v>
      </c>
      <c r="C52" s="256">
        <v>1465.54</v>
      </c>
      <c r="D52" s="256">
        <v>-0.12</v>
      </c>
      <c r="E52" s="256">
        <v>2.17</v>
      </c>
      <c r="F52" s="256">
        <v>3.06</v>
      </c>
    </row>
    <row r="53" spans="2:6" hidden="1">
      <c r="B53" s="266">
        <v>36008</v>
      </c>
      <c r="C53" s="256">
        <v>1458.07</v>
      </c>
      <c r="D53" s="256">
        <v>-0.51</v>
      </c>
      <c r="E53" s="256">
        <v>1.65</v>
      </c>
      <c r="F53" s="256">
        <v>2.5499999999999998</v>
      </c>
    </row>
    <row r="54" spans="2:6" hidden="1">
      <c r="B54" s="266">
        <v>36039</v>
      </c>
      <c r="C54" s="256">
        <v>1454.86</v>
      </c>
      <c r="D54" s="256">
        <v>-0.22</v>
      </c>
      <c r="E54" s="256">
        <v>1.42</v>
      </c>
      <c r="F54" s="256">
        <v>2.27</v>
      </c>
    </row>
    <row r="55" spans="2:6" hidden="1">
      <c r="B55" s="266">
        <v>36069</v>
      </c>
      <c r="C55" s="256">
        <v>1455.15</v>
      </c>
      <c r="D55" s="256">
        <v>0.02</v>
      </c>
      <c r="E55" s="256">
        <v>1.44</v>
      </c>
      <c r="F55" s="256">
        <v>2.0499999999999998</v>
      </c>
    </row>
    <row r="56" spans="2:6" hidden="1">
      <c r="B56" s="266">
        <v>36100</v>
      </c>
      <c r="C56" s="256">
        <v>1453.4</v>
      </c>
      <c r="D56" s="256">
        <v>-0.12</v>
      </c>
      <c r="E56" s="256">
        <v>1.32</v>
      </c>
      <c r="F56" s="256">
        <v>1.76</v>
      </c>
    </row>
    <row r="57" spans="2:6" hidden="1">
      <c r="B57" s="266">
        <v>36130</v>
      </c>
      <c r="C57" s="256">
        <v>1458.2</v>
      </c>
      <c r="D57" s="256">
        <v>0.33</v>
      </c>
      <c r="E57" s="256">
        <v>1.65</v>
      </c>
      <c r="F57" s="256">
        <v>1.65</v>
      </c>
    </row>
    <row r="58" spans="2:6" hidden="1">
      <c r="B58" s="266">
        <v>36161</v>
      </c>
      <c r="C58" s="256">
        <v>1468.41</v>
      </c>
      <c r="D58" s="256">
        <v>0.7</v>
      </c>
      <c r="E58" s="256">
        <v>0.7</v>
      </c>
      <c r="F58" s="256">
        <v>1.65</v>
      </c>
    </row>
    <row r="59" spans="2:6" hidden="1">
      <c r="B59" s="266">
        <v>36192</v>
      </c>
      <c r="C59" s="256">
        <v>1483.83</v>
      </c>
      <c r="D59" s="256">
        <v>1.05</v>
      </c>
      <c r="E59" s="256">
        <v>1.76</v>
      </c>
      <c r="F59" s="256">
        <v>2.2400000000000002</v>
      </c>
    </row>
    <row r="60" spans="2:6" hidden="1">
      <c r="B60" s="266">
        <v>36220</v>
      </c>
      <c r="C60" s="256">
        <v>1500.15</v>
      </c>
      <c r="D60" s="256">
        <v>1.1000000000000001</v>
      </c>
      <c r="E60" s="256">
        <v>2.88</v>
      </c>
      <c r="F60" s="256">
        <v>3.02</v>
      </c>
    </row>
    <row r="61" spans="2:6" hidden="1">
      <c r="B61" s="266">
        <v>36251</v>
      </c>
      <c r="C61" s="256">
        <v>1508.55</v>
      </c>
      <c r="D61" s="256">
        <v>0.56000000000000005</v>
      </c>
      <c r="E61" s="256">
        <v>3.45</v>
      </c>
      <c r="F61" s="256">
        <v>3.35</v>
      </c>
    </row>
    <row r="62" spans="2:6" hidden="1">
      <c r="B62" s="266">
        <v>36281</v>
      </c>
      <c r="C62" s="256">
        <v>1513.08</v>
      </c>
      <c r="D62" s="256">
        <v>0.3</v>
      </c>
      <c r="E62" s="256">
        <v>3.76</v>
      </c>
      <c r="F62" s="256">
        <v>3.14</v>
      </c>
    </row>
    <row r="63" spans="2:6" hidden="1">
      <c r="B63" s="266">
        <v>36312</v>
      </c>
      <c r="C63" s="256">
        <v>1515.95</v>
      </c>
      <c r="D63" s="256">
        <v>0.19</v>
      </c>
      <c r="E63" s="256">
        <v>3.96</v>
      </c>
      <c r="F63" s="256">
        <v>3.32</v>
      </c>
    </row>
    <row r="64" spans="2:6" hidden="1">
      <c r="B64" s="266">
        <v>36342</v>
      </c>
      <c r="C64" s="256">
        <v>1532.47</v>
      </c>
      <c r="D64" s="256">
        <v>1.0900000000000001</v>
      </c>
      <c r="E64" s="256">
        <v>5.09</v>
      </c>
      <c r="F64" s="256">
        <v>4.57</v>
      </c>
    </row>
    <row r="65" spans="2:6" hidden="1">
      <c r="B65" s="266">
        <v>36373</v>
      </c>
      <c r="C65" s="256">
        <v>1541.05</v>
      </c>
      <c r="D65" s="256">
        <v>0.56000000000000005</v>
      </c>
      <c r="E65" s="256">
        <v>5.68</v>
      </c>
      <c r="F65" s="256">
        <v>5.69</v>
      </c>
    </row>
    <row r="66" spans="2:6" hidden="1">
      <c r="B66" s="266">
        <v>36404</v>
      </c>
      <c r="C66" s="256">
        <v>1545.83</v>
      </c>
      <c r="D66" s="256">
        <v>0.31</v>
      </c>
      <c r="E66" s="256">
        <v>6.01</v>
      </c>
      <c r="F66" s="256">
        <v>6.25</v>
      </c>
    </row>
    <row r="67" spans="2:6" hidden="1">
      <c r="B67" s="266">
        <v>36434</v>
      </c>
      <c r="C67" s="256">
        <v>1564.23</v>
      </c>
      <c r="D67" s="256">
        <v>1.19</v>
      </c>
      <c r="E67" s="256">
        <v>7.27</v>
      </c>
      <c r="F67" s="256">
        <v>7.5</v>
      </c>
    </row>
    <row r="68" spans="2:6" hidden="1">
      <c r="B68" s="266">
        <v>36465</v>
      </c>
      <c r="C68" s="256">
        <v>1579.09</v>
      </c>
      <c r="D68" s="256">
        <v>0.95</v>
      </c>
      <c r="E68" s="256">
        <v>8.2899999999999991</v>
      </c>
      <c r="F68" s="256">
        <v>8.65</v>
      </c>
    </row>
    <row r="69" spans="2:6" hidden="1">
      <c r="B69" s="266">
        <v>36495</v>
      </c>
      <c r="C69" s="256">
        <v>1588.56</v>
      </c>
      <c r="D69" s="256">
        <v>0.6</v>
      </c>
      <c r="E69" s="256">
        <v>8.94</v>
      </c>
      <c r="F69" s="256">
        <v>8.94</v>
      </c>
    </row>
    <row r="70" spans="2:6" hidden="1">
      <c r="B70" s="266">
        <v>36526</v>
      </c>
      <c r="C70" s="256">
        <v>1598.41</v>
      </c>
      <c r="D70" s="256">
        <v>0.62</v>
      </c>
      <c r="E70" s="256">
        <v>0.62</v>
      </c>
      <c r="F70" s="256">
        <v>8.85</v>
      </c>
    </row>
    <row r="71" spans="2:6" hidden="1">
      <c r="B71" s="266">
        <v>36557</v>
      </c>
      <c r="C71" s="256">
        <v>1600.49</v>
      </c>
      <c r="D71" s="256">
        <v>0.13</v>
      </c>
      <c r="E71" s="256">
        <v>0.75</v>
      </c>
      <c r="F71" s="256">
        <v>7.86</v>
      </c>
    </row>
    <row r="72" spans="2:6" hidden="1">
      <c r="B72" s="266">
        <v>36586</v>
      </c>
      <c r="C72" s="256">
        <v>1604.01</v>
      </c>
      <c r="D72" s="256">
        <v>0.22</v>
      </c>
      <c r="E72" s="256">
        <v>0.97</v>
      </c>
      <c r="F72" s="256">
        <v>6.92</v>
      </c>
    </row>
    <row r="73" spans="2:6" hidden="1">
      <c r="B73" s="266">
        <v>36617</v>
      </c>
      <c r="C73" s="256">
        <v>1610.75</v>
      </c>
      <c r="D73" s="256">
        <v>0.42</v>
      </c>
      <c r="E73" s="256">
        <v>1.4</v>
      </c>
      <c r="F73" s="256">
        <v>6.77</v>
      </c>
    </row>
    <row r="74" spans="2:6" hidden="1">
      <c r="B74" s="266">
        <v>36647</v>
      </c>
      <c r="C74" s="256">
        <v>1610.91</v>
      </c>
      <c r="D74" s="256">
        <v>0.01</v>
      </c>
      <c r="E74" s="256">
        <v>1.41</v>
      </c>
      <c r="F74" s="256">
        <v>6.47</v>
      </c>
    </row>
    <row r="75" spans="2:6" hidden="1">
      <c r="B75" s="266">
        <v>36678</v>
      </c>
      <c r="C75" s="256">
        <v>1614.62</v>
      </c>
      <c r="D75" s="256">
        <v>0.23</v>
      </c>
      <c r="E75" s="256">
        <v>1.64</v>
      </c>
      <c r="F75" s="256">
        <v>6.51</v>
      </c>
    </row>
    <row r="76" spans="2:6" hidden="1">
      <c r="B76" s="266">
        <v>36708</v>
      </c>
      <c r="C76" s="256">
        <v>1640.62</v>
      </c>
      <c r="D76" s="256">
        <v>1.61</v>
      </c>
      <c r="E76" s="256">
        <v>3.28</v>
      </c>
      <c r="F76" s="256">
        <v>7.06</v>
      </c>
    </row>
    <row r="77" spans="2:6" hidden="1">
      <c r="B77" s="266">
        <v>36739</v>
      </c>
      <c r="C77" s="256">
        <v>1662.11</v>
      </c>
      <c r="D77" s="256">
        <v>1.31</v>
      </c>
      <c r="E77" s="256">
        <v>4.63</v>
      </c>
      <c r="F77" s="256">
        <v>7.86</v>
      </c>
    </row>
    <row r="78" spans="2:6" hidden="1">
      <c r="B78" s="266">
        <v>36770</v>
      </c>
      <c r="C78" s="256">
        <v>1665.93</v>
      </c>
      <c r="D78" s="256">
        <v>0.23</v>
      </c>
      <c r="E78" s="256">
        <v>4.87</v>
      </c>
      <c r="F78" s="256">
        <v>7.77</v>
      </c>
    </row>
    <row r="79" spans="2:6" hidden="1">
      <c r="B79" s="266">
        <v>36800</v>
      </c>
      <c r="C79" s="256">
        <v>1668.26</v>
      </c>
      <c r="D79" s="256">
        <v>0.14000000000000001</v>
      </c>
      <c r="E79" s="256">
        <v>5.0199999999999996</v>
      </c>
      <c r="F79" s="256">
        <v>6.65</v>
      </c>
    </row>
    <row r="80" spans="2:6" hidden="1">
      <c r="B80" s="266">
        <v>36831</v>
      </c>
      <c r="C80" s="256">
        <v>1673.6</v>
      </c>
      <c r="D80" s="256">
        <v>0.32</v>
      </c>
      <c r="E80" s="256">
        <v>5.35</v>
      </c>
      <c r="F80" s="256">
        <v>5.99</v>
      </c>
    </row>
    <row r="81" spans="2:6" hidden="1">
      <c r="B81" s="266">
        <v>36861</v>
      </c>
      <c r="C81" s="256">
        <v>1683.47</v>
      </c>
      <c r="D81" s="256">
        <v>0.59</v>
      </c>
      <c r="E81" s="256">
        <v>5.97</v>
      </c>
      <c r="F81" s="256">
        <v>5.97</v>
      </c>
    </row>
    <row r="82" spans="2:6" hidden="1">
      <c r="B82" s="266">
        <v>36892</v>
      </c>
      <c r="C82" s="256">
        <v>1693.07</v>
      </c>
      <c r="D82" s="256">
        <v>0.56999999999999995</v>
      </c>
      <c r="E82" s="256">
        <v>0.56999999999999995</v>
      </c>
      <c r="F82" s="256">
        <v>5.92</v>
      </c>
    </row>
    <row r="83" spans="2:6" hidden="1">
      <c r="B83" s="266">
        <v>36923</v>
      </c>
      <c r="C83" s="256">
        <v>1700.86</v>
      </c>
      <c r="D83" s="256">
        <v>0.46</v>
      </c>
      <c r="E83" s="256">
        <v>1.03</v>
      </c>
      <c r="F83" s="256">
        <v>6.27</v>
      </c>
    </row>
    <row r="84" spans="2:6" hidden="1">
      <c r="B84" s="266">
        <v>36951</v>
      </c>
      <c r="C84" s="256">
        <v>1707.32</v>
      </c>
      <c r="D84" s="256">
        <v>0.38</v>
      </c>
      <c r="E84" s="256">
        <v>1.42</v>
      </c>
      <c r="F84" s="256">
        <v>6.44</v>
      </c>
    </row>
    <row r="85" spans="2:6" hidden="1">
      <c r="B85" s="266">
        <v>36982</v>
      </c>
      <c r="C85" s="256">
        <v>1717.22</v>
      </c>
      <c r="D85" s="256">
        <v>0.57999999999999996</v>
      </c>
      <c r="E85" s="256">
        <v>2</v>
      </c>
      <c r="F85" s="256">
        <v>6.61</v>
      </c>
    </row>
    <row r="86" spans="2:6" hidden="1">
      <c r="B86" s="266">
        <v>37012</v>
      </c>
      <c r="C86" s="256">
        <v>1724.26</v>
      </c>
      <c r="D86" s="256">
        <v>0.41</v>
      </c>
      <c r="E86" s="256">
        <v>2.42</v>
      </c>
      <c r="F86" s="256">
        <v>7.04</v>
      </c>
    </row>
    <row r="87" spans="2:6" hidden="1">
      <c r="B87" s="266">
        <v>37043</v>
      </c>
      <c r="C87" s="256">
        <v>1733.23</v>
      </c>
      <c r="D87" s="256">
        <v>0.52</v>
      </c>
      <c r="E87" s="256">
        <v>2.96</v>
      </c>
      <c r="F87" s="256">
        <v>7.35</v>
      </c>
    </row>
    <row r="88" spans="2:6" hidden="1">
      <c r="B88" s="266">
        <v>37073</v>
      </c>
      <c r="C88" s="256">
        <v>1756.28</v>
      </c>
      <c r="D88" s="256">
        <v>1.33</v>
      </c>
      <c r="E88" s="256">
        <v>4.32</v>
      </c>
      <c r="F88" s="256">
        <v>7.05</v>
      </c>
    </row>
    <row r="89" spans="2:6" hidden="1">
      <c r="B89" s="266">
        <v>37104</v>
      </c>
      <c r="C89" s="256">
        <v>1768.57</v>
      </c>
      <c r="D89" s="256">
        <v>0.7</v>
      </c>
      <c r="E89" s="256">
        <v>5.0599999999999996</v>
      </c>
      <c r="F89" s="256">
        <v>6.41</v>
      </c>
    </row>
    <row r="90" spans="2:6" hidden="1">
      <c r="B90" s="266">
        <v>37135</v>
      </c>
      <c r="C90" s="256">
        <v>1773.52</v>
      </c>
      <c r="D90" s="256">
        <v>0.28000000000000003</v>
      </c>
      <c r="E90" s="256">
        <v>5.35</v>
      </c>
      <c r="F90" s="256">
        <v>6.46</v>
      </c>
    </row>
    <row r="91" spans="2:6" hidden="1">
      <c r="B91" s="266">
        <v>37165</v>
      </c>
      <c r="C91" s="256">
        <v>1788.24</v>
      </c>
      <c r="D91" s="256">
        <v>0.83</v>
      </c>
      <c r="E91" s="256">
        <v>6.22</v>
      </c>
      <c r="F91" s="256">
        <v>7.19</v>
      </c>
    </row>
    <row r="92" spans="2:6" hidden="1">
      <c r="B92" s="266">
        <v>37196</v>
      </c>
      <c r="C92" s="256">
        <v>1800.94</v>
      </c>
      <c r="D92" s="256">
        <v>0.71</v>
      </c>
      <c r="E92" s="256">
        <v>6.98</v>
      </c>
      <c r="F92" s="256">
        <v>7.61</v>
      </c>
    </row>
    <row r="93" spans="2:6" hidden="1">
      <c r="B93" s="266">
        <v>37226</v>
      </c>
      <c r="C93" s="256">
        <v>1812.65</v>
      </c>
      <c r="D93" s="256">
        <v>0.65</v>
      </c>
      <c r="E93" s="256">
        <v>7.67</v>
      </c>
      <c r="F93" s="256">
        <v>7.67</v>
      </c>
    </row>
    <row r="94" spans="2:6" hidden="1">
      <c r="B94" s="266">
        <v>37257</v>
      </c>
      <c r="C94" s="256">
        <v>1822.08</v>
      </c>
      <c r="D94" s="256">
        <v>0.52</v>
      </c>
      <c r="E94" s="256">
        <v>0.52</v>
      </c>
      <c r="F94" s="256">
        <v>7.62</v>
      </c>
    </row>
    <row r="95" spans="2:6" hidden="1">
      <c r="B95" s="266">
        <v>37288</v>
      </c>
      <c r="C95" s="256">
        <v>1828.64</v>
      </c>
      <c r="D95" s="256">
        <v>0.36</v>
      </c>
      <c r="E95" s="256">
        <v>0.88</v>
      </c>
      <c r="F95" s="256">
        <v>7.51</v>
      </c>
    </row>
    <row r="96" spans="2:6" hidden="1">
      <c r="B96" s="266">
        <v>37316</v>
      </c>
      <c r="C96" s="256">
        <v>1839.61</v>
      </c>
      <c r="D96" s="256">
        <v>0.6</v>
      </c>
      <c r="E96" s="256">
        <v>1.49</v>
      </c>
      <c r="F96" s="256">
        <v>7.75</v>
      </c>
    </row>
    <row r="97" spans="2:6" hidden="1">
      <c r="B97" s="266">
        <v>37347</v>
      </c>
      <c r="C97" s="256">
        <v>1854.33</v>
      </c>
      <c r="D97" s="256">
        <v>0.8</v>
      </c>
      <c r="E97" s="256">
        <v>2.2999999999999998</v>
      </c>
      <c r="F97" s="256">
        <v>7.98</v>
      </c>
    </row>
    <row r="98" spans="2:6" hidden="1">
      <c r="B98" s="266">
        <v>37377</v>
      </c>
      <c r="C98" s="256">
        <v>1858.22</v>
      </c>
      <c r="D98" s="256">
        <v>0.21</v>
      </c>
      <c r="E98" s="256">
        <v>2.5099999999999998</v>
      </c>
      <c r="F98" s="256">
        <v>7.77</v>
      </c>
    </row>
    <row r="99" spans="2:6" hidden="1">
      <c r="B99" s="266">
        <v>37408</v>
      </c>
      <c r="C99" s="256">
        <v>1866.02</v>
      </c>
      <c r="D99" s="256">
        <v>0.42</v>
      </c>
      <c r="E99" s="256">
        <v>2.94</v>
      </c>
      <c r="F99" s="256">
        <v>7.66</v>
      </c>
    </row>
    <row r="100" spans="2:6" hidden="1">
      <c r="B100" s="266">
        <v>37438</v>
      </c>
      <c r="C100" s="256">
        <v>1888.23</v>
      </c>
      <c r="D100" s="256">
        <v>1.19</v>
      </c>
      <c r="E100" s="256">
        <v>4.17</v>
      </c>
      <c r="F100" s="256">
        <v>7.51</v>
      </c>
    </row>
    <row r="101" spans="2:6" hidden="1">
      <c r="B101" s="266">
        <v>37469</v>
      </c>
      <c r="C101" s="256">
        <v>1900.5</v>
      </c>
      <c r="D101" s="256">
        <v>0.65</v>
      </c>
      <c r="E101" s="256">
        <v>4.8499999999999996</v>
      </c>
      <c r="F101" s="256">
        <v>7.46</v>
      </c>
    </row>
    <row r="102" spans="2:6" hidden="1">
      <c r="B102" s="266">
        <v>37500</v>
      </c>
      <c r="C102" s="256">
        <v>1914.18</v>
      </c>
      <c r="D102" s="256">
        <v>0.72</v>
      </c>
      <c r="E102" s="256">
        <v>5.6</v>
      </c>
      <c r="F102" s="256">
        <v>7.93</v>
      </c>
    </row>
    <row r="103" spans="2:6" hidden="1">
      <c r="B103" s="266">
        <v>37530</v>
      </c>
      <c r="C103" s="256">
        <v>1939.26</v>
      </c>
      <c r="D103" s="256">
        <v>1.31</v>
      </c>
      <c r="E103" s="256">
        <v>6.98</v>
      </c>
      <c r="F103" s="256">
        <v>8.4499999999999993</v>
      </c>
    </row>
    <row r="104" spans="2:6" hidden="1">
      <c r="B104" s="266">
        <v>37561</v>
      </c>
      <c r="C104" s="256">
        <v>1997.83</v>
      </c>
      <c r="D104" s="256">
        <v>3.02</v>
      </c>
      <c r="E104" s="256">
        <v>10.220000000000001</v>
      </c>
      <c r="F104" s="256">
        <v>10.93</v>
      </c>
    </row>
    <row r="105" spans="2:6" hidden="1">
      <c r="B105" s="266">
        <v>37591</v>
      </c>
      <c r="C105" s="256">
        <v>2039.78</v>
      </c>
      <c r="D105" s="256">
        <v>2.1</v>
      </c>
      <c r="E105" s="256">
        <v>12.53</v>
      </c>
      <c r="F105" s="256">
        <v>12.53</v>
      </c>
    </row>
    <row r="106" spans="2:6" hidden="1">
      <c r="B106" s="266">
        <v>37622</v>
      </c>
      <c r="C106" s="256">
        <v>2085.6799999999998</v>
      </c>
      <c r="D106" s="256">
        <v>2.25</v>
      </c>
      <c r="E106" s="256">
        <v>2.25</v>
      </c>
      <c r="F106" s="256">
        <v>14.47</v>
      </c>
    </row>
    <row r="107" spans="2:6" hidden="1">
      <c r="B107" s="266">
        <v>37653</v>
      </c>
      <c r="C107" s="256">
        <v>2118.4299999999998</v>
      </c>
      <c r="D107" s="256">
        <v>1.57</v>
      </c>
      <c r="E107" s="256">
        <v>3.86</v>
      </c>
      <c r="F107" s="256">
        <v>15.85</v>
      </c>
    </row>
    <row r="108" spans="2:6" hidden="1">
      <c r="B108" s="266">
        <v>37681</v>
      </c>
      <c r="C108" s="256">
        <v>2144.4899999999998</v>
      </c>
      <c r="D108" s="256">
        <v>1.23</v>
      </c>
      <c r="E108" s="256">
        <v>5.13</v>
      </c>
      <c r="F108" s="256">
        <v>16.57</v>
      </c>
    </row>
    <row r="109" spans="2:6" hidden="1">
      <c r="B109" s="266">
        <v>37712</v>
      </c>
      <c r="C109" s="256">
        <v>2165.29</v>
      </c>
      <c r="D109" s="256">
        <v>0.97</v>
      </c>
      <c r="E109" s="256">
        <v>6.15</v>
      </c>
      <c r="F109" s="256">
        <v>16.77</v>
      </c>
    </row>
    <row r="110" spans="2:6" hidden="1">
      <c r="B110" s="266">
        <v>37742</v>
      </c>
      <c r="C110" s="256">
        <v>2178.5</v>
      </c>
      <c r="D110" s="256">
        <v>0.61</v>
      </c>
      <c r="E110" s="256">
        <v>6.8</v>
      </c>
      <c r="F110" s="256">
        <v>17.239999999999998</v>
      </c>
    </row>
    <row r="111" spans="2:6" hidden="1">
      <c r="B111" s="266">
        <v>37773</v>
      </c>
      <c r="C111" s="256">
        <v>2175.23</v>
      </c>
      <c r="D111" s="256">
        <v>-0.15</v>
      </c>
      <c r="E111" s="256">
        <v>6.64</v>
      </c>
      <c r="F111" s="256">
        <v>16.57</v>
      </c>
    </row>
    <row r="112" spans="2:6" hidden="1">
      <c r="B112" s="266">
        <v>37803</v>
      </c>
      <c r="C112" s="256">
        <v>2179.58</v>
      </c>
      <c r="D112" s="256">
        <v>0.2</v>
      </c>
      <c r="E112" s="256">
        <v>6.85</v>
      </c>
      <c r="F112" s="256">
        <v>15.43</v>
      </c>
    </row>
    <row r="113" spans="2:6" hidden="1">
      <c r="B113" s="266">
        <v>37834</v>
      </c>
      <c r="C113" s="256">
        <v>2186.9899999999998</v>
      </c>
      <c r="D113" s="256">
        <v>0.34</v>
      </c>
      <c r="E113" s="256">
        <v>7.22</v>
      </c>
      <c r="F113" s="256">
        <v>15.07</v>
      </c>
    </row>
    <row r="114" spans="2:6" hidden="1">
      <c r="B114" s="266">
        <v>37865</v>
      </c>
      <c r="C114" s="256">
        <v>2204.0500000000002</v>
      </c>
      <c r="D114" s="256">
        <v>0.78</v>
      </c>
      <c r="E114" s="256">
        <v>8.0500000000000007</v>
      </c>
      <c r="F114" s="256">
        <v>15.14</v>
      </c>
    </row>
    <row r="115" spans="2:6" hidden="1">
      <c r="B115" s="266">
        <v>37895</v>
      </c>
      <c r="C115" s="256">
        <v>2210.44</v>
      </c>
      <c r="D115" s="256">
        <v>0.28999999999999998</v>
      </c>
      <c r="E115" s="256">
        <v>8.3699999999999992</v>
      </c>
      <c r="F115" s="256">
        <v>13.98</v>
      </c>
    </row>
    <row r="116" spans="2:6" hidden="1">
      <c r="B116" s="266">
        <v>37926</v>
      </c>
      <c r="C116" s="256">
        <v>2217.96</v>
      </c>
      <c r="D116" s="256">
        <v>0.34</v>
      </c>
      <c r="E116" s="256">
        <v>8.74</v>
      </c>
      <c r="F116" s="256">
        <v>11.02</v>
      </c>
    </row>
    <row r="117" spans="2:6" hidden="1">
      <c r="B117" s="266">
        <v>37956</v>
      </c>
      <c r="C117" s="256">
        <v>2229.4899999999998</v>
      </c>
      <c r="D117" s="256">
        <v>0.52</v>
      </c>
      <c r="E117" s="256">
        <v>9.3000000000000007</v>
      </c>
      <c r="F117" s="256">
        <v>9.3000000000000007</v>
      </c>
    </row>
    <row r="118" spans="2:6" hidden="1">
      <c r="B118" s="266">
        <v>37987</v>
      </c>
      <c r="C118" s="256">
        <v>2246.4299999999998</v>
      </c>
      <c r="D118" s="256">
        <v>0.76</v>
      </c>
      <c r="E118" s="256">
        <v>0.76</v>
      </c>
      <c r="F118" s="256">
        <v>7.71</v>
      </c>
    </row>
    <row r="119" spans="2:6" hidden="1">
      <c r="B119" s="266">
        <v>38018</v>
      </c>
      <c r="C119" s="256">
        <v>2260.13</v>
      </c>
      <c r="D119" s="256">
        <v>0.61</v>
      </c>
      <c r="E119" s="256">
        <v>1.37</v>
      </c>
      <c r="F119" s="256">
        <v>6.69</v>
      </c>
    </row>
    <row r="120" spans="2:6" hidden="1">
      <c r="B120" s="266">
        <v>38047</v>
      </c>
      <c r="C120" s="256">
        <v>2270.75</v>
      </c>
      <c r="D120" s="256">
        <v>0.47</v>
      </c>
      <c r="E120" s="256">
        <v>1.85</v>
      </c>
      <c r="F120" s="256">
        <v>5.89</v>
      </c>
    </row>
    <row r="121" spans="2:6" hidden="1">
      <c r="B121" s="266">
        <v>38078</v>
      </c>
      <c r="C121" s="256">
        <v>2279.15</v>
      </c>
      <c r="D121" s="256">
        <v>0.37</v>
      </c>
      <c r="E121" s="256">
        <v>2.23</v>
      </c>
      <c r="F121" s="256">
        <v>5.26</v>
      </c>
    </row>
    <row r="122" spans="2:6" hidden="1">
      <c r="B122" s="266">
        <v>38108</v>
      </c>
      <c r="C122" s="256">
        <v>2290.77</v>
      </c>
      <c r="D122" s="256">
        <v>0.51</v>
      </c>
      <c r="E122" s="256">
        <v>2.75</v>
      </c>
      <c r="F122" s="256">
        <v>5.15</v>
      </c>
    </row>
    <row r="123" spans="2:6" hidden="1">
      <c r="B123" s="266">
        <v>38139</v>
      </c>
      <c r="C123" s="256">
        <v>2307.0300000000002</v>
      </c>
      <c r="D123" s="256">
        <v>0.71</v>
      </c>
      <c r="E123" s="256">
        <v>3.48</v>
      </c>
      <c r="F123" s="256">
        <v>6.06</v>
      </c>
    </row>
    <row r="124" spans="2:6" hidden="1">
      <c r="B124" s="266">
        <v>38169</v>
      </c>
      <c r="C124" s="256">
        <v>2328.02</v>
      </c>
      <c r="D124" s="256">
        <v>0.91</v>
      </c>
      <c r="E124" s="256">
        <v>4.42</v>
      </c>
      <c r="F124" s="256">
        <v>6.81</v>
      </c>
    </row>
    <row r="125" spans="2:6" hidden="1">
      <c r="B125" s="266">
        <v>38200</v>
      </c>
      <c r="C125" s="256">
        <v>2344.08</v>
      </c>
      <c r="D125" s="256">
        <v>0.69</v>
      </c>
      <c r="E125" s="256">
        <v>5.14</v>
      </c>
      <c r="F125" s="256">
        <v>7.18</v>
      </c>
    </row>
    <row r="126" spans="2:6" hidden="1">
      <c r="B126" s="266">
        <v>38231</v>
      </c>
      <c r="C126" s="256">
        <v>2351.8200000000002</v>
      </c>
      <c r="D126" s="256">
        <v>0.33</v>
      </c>
      <c r="E126" s="256">
        <v>5.49</v>
      </c>
      <c r="F126" s="256">
        <v>6.7</v>
      </c>
    </row>
    <row r="127" spans="2:6" hidden="1">
      <c r="B127" s="266">
        <v>38261</v>
      </c>
      <c r="C127" s="256">
        <v>2362.17</v>
      </c>
      <c r="D127" s="256">
        <v>0.44</v>
      </c>
      <c r="E127" s="256">
        <v>5.95</v>
      </c>
      <c r="F127" s="256">
        <v>6.86</v>
      </c>
    </row>
    <row r="128" spans="2:6" hidden="1">
      <c r="B128" s="266">
        <v>38292</v>
      </c>
      <c r="C128" s="256">
        <v>2378.4699999999998</v>
      </c>
      <c r="D128" s="256">
        <v>0.69</v>
      </c>
      <c r="E128" s="256">
        <v>6.68</v>
      </c>
      <c r="F128" s="256">
        <v>7.24</v>
      </c>
    </row>
    <row r="129" spans="2:6" hidden="1">
      <c r="B129" s="266">
        <v>38322</v>
      </c>
      <c r="C129" s="256">
        <v>2398.92</v>
      </c>
      <c r="D129" s="256">
        <v>0.86</v>
      </c>
      <c r="E129" s="256">
        <v>7.6</v>
      </c>
      <c r="F129" s="256">
        <v>7.6</v>
      </c>
    </row>
    <row r="130" spans="2:6" hidden="1">
      <c r="B130" s="266">
        <v>38353</v>
      </c>
      <c r="C130" s="256">
        <v>2412.83</v>
      </c>
      <c r="D130" s="256">
        <v>0.57999999999999996</v>
      </c>
      <c r="E130" s="256">
        <v>0.57999999999999996</v>
      </c>
      <c r="F130" s="256">
        <v>7.41</v>
      </c>
    </row>
    <row r="131" spans="2:6" hidden="1">
      <c r="B131" s="266">
        <v>38384</v>
      </c>
      <c r="C131" s="256">
        <v>2427.0700000000002</v>
      </c>
      <c r="D131" s="256">
        <v>0.59</v>
      </c>
      <c r="E131" s="256">
        <v>1.17</v>
      </c>
      <c r="F131" s="256">
        <v>7.39</v>
      </c>
    </row>
    <row r="132" spans="2:6" hidden="1">
      <c r="B132" s="266">
        <v>38412</v>
      </c>
      <c r="C132" s="256">
        <v>2441.87</v>
      </c>
      <c r="D132" s="256">
        <v>0.61</v>
      </c>
      <c r="E132" s="256">
        <v>1.79</v>
      </c>
      <c r="F132" s="256">
        <v>7.54</v>
      </c>
    </row>
    <row r="133" spans="2:6" hidden="1">
      <c r="B133" s="266">
        <v>38443</v>
      </c>
      <c r="C133" s="256">
        <v>2463.11</v>
      </c>
      <c r="D133" s="256">
        <v>0.87</v>
      </c>
      <c r="E133" s="256">
        <v>2.68</v>
      </c>
      <c r="F133" s="256">
        <v>8.07</v>
      </c>
    </row>
    <row r="134" spans="2:6" hidden="1">
      <c r="B134" s="266">
        <v>38473</v>
      </c>
      <c r="C134" s="256">
        <v>2475.1799999999998</v>
      </c>
      <c r="D134" s="256">
        <v>0.49</v>
      </c>
      <c r="E134" s="256">
        <v>3.18</v>
      </c>
      <c r="F134" s="256">
        <v>8.0500000000000007</v>
      </c>
    </row>
    <row r="135" spans="2:6" hidden="1">
      <c r="B135" s="266">
        <v>38504</v>
      </c>
      <c r="C135" s="256">
        <v>2474.6799999999998</v>
      </c>
      <c r="D135" s="256">
        <v>-0.02</v>
      </c>
      <c r="E135" s="256">
        <v>3.16</v>
      </c>
      <c r="F135" s="256">
        <v>7.27</v>
      </c>
    </row>
    <row r="136" spans="2:6" hidden="1">
      <c r="B136" s="266">
        <v>38534</v>
      </c>
      <c r="C136" s="256">
        <v>2480.87</v>
      </c>
      <c r="D136" s="256">
        <v>0.25</v>
      </c>
      <c r="E136" s="256">
        <v>3.42</v>
      </c>
      <c r="F136" s="256">
        <v>6.57</v>
      </c>
    </row>
    <row r="137" spans="2:6" hidden="1">
      <c r="B137" s="266">
        <v>38565</v>
      </c>
      <c r="C137" s="256">
        <v>2485.09</v>
      </c>
      <c r="D137" s="256">
        <v>0.17</v>
      </c>
      <c r="E137" s="256">
        <v>3.59</v>
      </c>
      <c r="F137" s="256">
        <v>6.02</v>
      </c>
    </row>
    <row r="138" spans="2:6" hidden="1">
      <c r="B138" s="266">
        <v>38596</v>
      </c>
      <c r="C138" s="256">
        <v>2493.79</v>
      </c>
      <c r="D138" s="256">
        <v>0.35</v>
      </c>
      <c r="E138" s="256">
        <v>3.95</v>
      </c>
      <c r="F138" s="256">
        <v>6.04</v>
      </c>
    </row>
    <row r="139" spans="2:6" hidden="1">
      <c r="B139" s="266">
        <v>38626</v>
      </c>
      <c r="C139" s="256">
        <v>2512.4899999999998</v>
      </c>
      <c r="D139" s="256">
        <v>0.75</v>
      </c>
      <c r="E139" s="256">
        <v>4.7300000000000004</v>
      </c>
      <c r="F139" s="256">
        <v>6.36</v>
      </c>
    </row>
    <row r="140" spans="2:6" hidden="1">
      <c r="B140" s="266">
        <v>38657</v>
      </c>
      <c r="C140" s="256">
        <v>2526.31</v>
      </c>
      <c r="D140" s="256">
        <v>0.55000000000000004</v>
      </c>
      <c r="E140" s="256">
        <v>5.31</v>
      </c>
      <c r="F140" s="256">
        <v>6.22</v>
      </c>
    </row>
    <row r="141" spans="2:6" hidden="1">
      <c r="B141" s="266">
        <v>38687</v>
      </c>
      <c r="C141" s="256">
        <v>2535.4</v>
      </c>
      <c r="D141" s="256">
        <v>0.36</v>
      </c>
      <c r="E141" s="256">
        <v>5.69</v>
      </c>
      <c r="F141" s="256">
        <v>5.69</v>
      </c>
    </row>
    <row r="142" spans="2:6" hidden="1">
      <c r="B142" s="266">
        <v>38718</v>
      </c>
      <c r="C142" s="256">
        <v>2550.36</v>
      </c>
      <c r="D142" s="256">
        <v>0.59</v>
      </c>
      <c r="E142" s="256">
        <v>0.59</v>
      </c>
      <c r="F142" s="256">
        <v>5.7</v>
      </c>
    </row>
    <row r="143" spans="2:6" hidden="1">
      <c r="B143" s="266">
        <v>38749</v>
      </c>
      <c r="C143" s="256">
        <v>2560.8200000000002</v>
      </c>
      <c r="D143" s="256">
        <v>0.41</v>
      </c>
      <c r="E143" s="256">
        <v>1</v>
      </c>
      <c r="F143" s="256">
        <v>5.51</v>
      </c>
    </row>
    <row r="144" spans="2:6" hidden="1">
      <c r="B144" s="266">
        <v>38777</v>
      </c>
      <c r="C144" s="256">
        <v>2571.83</v>
      </c>
      <c r="D144" s="256">
        <v>0.43</v>
      </c>
      <c r="E144" s="256">
        <v>1.44</v>
      </c>
      <c r="F144" s="256">
        <v>5.32</v>
      </c>
    </row>
    <row r="145" spans="2:6" hidden="1">
      <c r="B145" s="266">
        <v>38808</v>
      </c>
      <c r="C145" s="256">
        <v>2577.23</v>
      </c>
      <c r="D145" s="256">
        <v>0.21</v>
      </c>
      <c r="E145" s="256">
        <v>1.65</v>
      </c>
      <c r="F145" s="256">
        <v>4.63</v>
      </c>
    </row>
    <row r="146" spans="2:6" hidden="1">
      <c r="B146" s="266">
        <v>38838</v>
      </c>
      <c r="C146" s="256">
        <v>2579.81</v>
      </c>
      <c r="D146" s="256">
        <v>0.1</v>
      </c>
      <c r="E146" s="256">
        <v>1.75</v>
      </c>
      <c r="F146" s="256">
        <v>4.2300000000000004</v>
      </c>
    </row>
    <row r="147" spans="2:6" hidden="1">
      <c r="B147" s="266">
        <v>38869</v>
      </c>
      <c r="C147" s="256">
        <v>2574.39</v>
      </c>
      <c r="D147" s="256">
        <v>-0.21</v>
      </c>
      <c r="E147" s="256">
        <v>1.54</v>
      </c>
      <c r="F147" s="256">
        <v>4.03</v>
      </c>
    </row>
    <row r="148" spans="2:6" hidden="1">
      <c r="B148" s="266">
        <v>38899</v>
      </c>
      <c r="C148" s="256">
        <v>2579.2800000000002</v>
      </c>
      <c r="D148" s="256">
        <v>0.19</v>
      </c>
      <c r="E148" s="256">
        <v>1.73</v>
      </c>
      <c r="F148" s="256">
        <v>3.97</v>
      </c>
    </row>
    <row r="149" spans="2:6" hidden="1">
      <c r="B149" s="266">
        <v>38930</v>
      </c>
      <c r="C149" s="256">
        <v>2580.5700000000002</v>
      </c>
      <c r="D149" s="256">
        <v>0.05</v>
      </c>
      <c r="E149" s="256">
        <v>1.78</v>
      </c>
      <c r="F149" s="256">
        <v>3.84</v>
      </c>
    </row>
    <row r="150" spans="2:6" hidden="1">
      <c r="B150" s="266">
        <v>38961</v>
      </c>
      <c r="C150" s="256">
        <v>2585.9899999999998</v>
      </c>
      <c r="D150" s="256">
        <v>0.21</v>
      </c>
      <c r="E150" s="256">
        <v>2</v>
      </c>
      <c r="F150" s="256">
        <v>3.7</v>
      </c>
    </row>
    <row r="151" spans="2:6" hidden="1">
      <c r="B151" s="266">
        <v>38991</v>
      </c>
      <c r="C151" s="256">
        <v>2594.52</v>
      </c>
      <c r="D151" s="256">
        <v>0.33</v>
      </c>
      <c r="E151" s="256">
        <v>2.33</v>
      </c>
      <c r="F151" s="256">
        <v>3.26</v>
      </c>
    </row>
    <row r="152" spans="2:6" hidden="1">
      <c r="B152" s="266">
        <v>39022</v>
      </c>
      <c r="C152" s="256">
        <v>2602.56</v>
      </c>
      <c r="D152" s="256">
        <v>0.31</v>
      </c>
      <c r="E152" s="256">
        <v>2.65</v>
      </c>
      <c r="F152" s="256">
        <v>3.02</v>
      </c>
    </row>
    <row r="153" spans="2:6" hidden="1">
      <c r="B153" s="266">
        <v>39052</v>
      </c>
      <c r="C153" s="256">
        <v>2615.0500000000002</v>
      </c>
      <c r="D153" s="256">
        <v>0.48</v>
      </c>
      <c r="E153" s="256">
        <v>3.14</v>
      </c>
      <c r="F153" s="256">
        <v>3.14</v>
      </c>
    </row>
    <row r="154" spans="2:6" hidden="1">
      <c r="B154" s="266">
        <v>39083</v>
      </c>
      <c r="C154" s="256">
        <v>2626.56</v>
      </c>
      <c r="D154" s="256">
        <v>0.44</v>
      </c>
      <c r="E154" s="256">
        <v>0.44</v>
      </c>
      <c r="F154" s="256">
        <v>2.99</v>
      </c>
    </row>
    <row r="155" spans="2:6" hidden="1">
      <c r="B155" s="266">
        <v>39114</v>
      </c>
      <c r="C155" s="256">
        <v>2638.12</v>
      </c>
      <c r="D155" s="256">
        <v>0.44</v>
      </c>
      <c r="E155" s="256">
        <v>0.88</v>
      </c>
      <c r="F155" s="256">
        <v>3.02</v>
      </c>
    </row>
    <row r="156" spans="2:6" hidden="1">
      <c r="B156" s="266">
        <v>39142</v>
      </c>
      <c r="C156" s="256">
        <v>2647.88</v>
      </c>
      <c r="D156" s="256">
        <v>0.37</v>
      </c>
      <c r="E156" s="256">
        <v>1.26</v>
      </c>
      <c r="F156" s="256">
        <v>2.96</v>
      </c>
    </row>
    <row r="157" spans="2:6" hidden="1">
      <c r="B157" s="266">
        <v>39173</v>
      </c>
      <c r="C157" s="256">
        <v>2654.5</v>
      </c>
      <c r="D157" s="256">
        <v>0.25</v>
      </c>
      <c r="E157" s="256">
        <v>1.51</v>
      </c>
      <c r="F157" s="256">
        <v>3</v>
      </c>
    </row>
    <row r="158" spans="2:6" hidden="1">
      <c r="B158" s="266">
        <v>39203</v>
      </c>
      <c r="C158" s="256">
        <v>2661.93</v>
      </c>
      <c r="D158" s="256">
        <v>0.28000000000000003</v>
      </c>
      <c r="E158" s="256">
        <v>1.79</v>
      </c>
      <c r="F158" s="256">
        <v>3.18</v>
      </c>
    </row>
    <row r="159" spans="2:6" hidden="1">
      <c r="B159" s="266">
        <v>39234</v>
      </c>
      <c r="C159" s="256">
        <v>2669.38</v>
      </c>
      <c r="D159" s="256">
        <v>0.28000000000000003</v>
      </c>
      <c r="E159" s="256">
        <v>2.08</v>
      </c>
      <c r="F159" s="256">
        <v>3.69</v>
      </c>
    </row>
    <row r="160" spans="2:6" hidden="1">
      <c r="B160" s="266">
        <v>39264</v>
      </c>
      <c r="C160" s="256">
        <v>2675.79</v>
      </c>
      <c r="D160" s="256">
        <v>0.24</v>
      </c>
      <c r="E160" s="256">
        <v>2.3199999999999998</v>
      </c>
      <c r="F160" s="256">
        <v>3.74</v>
      </c>
    </row>
    <row r="161" spans="2:6" hidden="1">
      <c r="B161" s="266">
        <v>39295</v>
      </c>
      <c r="C161" s="256">
        <v>2688.37</v>
      </c>
      <c r="D161" s="256">
        <v>0.47</v>
      </c>
      <c r="E161" s="256">
        <v>2.8</v>
      </c>
      <c r="F161" s="256">
        <v>4.18</v>
      </c>
    </row>
    <row r="162" spans="2:6" hidden="1">
      <c r="B162" s="266">
        <v>39326</v>
      </c>
      <c r="C162" s="256">
        <v>2693.21</v>
      </c>
      <c r="D162" s="256">
        <v>0.18</v>
      </c>
      <c r="E162" s="256">
        <v>2.99</v>
      </c>
      <c r="F162" s="256">
        <v>4.1500000000000004</v>
      </c>
    </row>
    <row r="163" spans="2:6" hidden="1">
      <c r="B163" s="266">
        <v>39356</v>
      </c>
      <c r="C163" s="256">
        <v>2701.29</v>
      </c>
      <c r="D163" s="256">
        <v>0.3</v>
      </c>
      <c r="E163" s="256">
        <v>3.3</v>
      </c>
      <c r="F163" s="256">
        <v>4.12</v>
      </c>
    </row>
    <row r="164" spans="2:6" hidden="1">
      <c r="B164" s="266">
        <v>39387</v>
      </c>
      <c r="C164" s="256">
        <v>2711.55</v>
      </c>
      <c r="D164" s="256">
        <v>0.38</v>
      </c>
      <c r="E164" s="256">
        <v>3.69</v>
      </c>
      <c r="F164" s="256">
        <v>4.1900000000000004</v>
      </c>
    </row>
    <row r="165" spans="2:6" hidden="1">
      <c r="B165" s="266">
        <v>39417</v>
      </c>
      <c r="C165" s="256">
        <v>2731.62</v>
      </c>
      <c r="D165" s="256">
        <v>0.74</v>
      </c>
      <c r="E165" s="256">
        <v>4.46</v>
      </c>
      <c r="F165" s="256">
        <v>4.46</v>
      </c>
    </row>
    <row r="166" spans="2:6" hidden="1">
      <c r="B166" s="266">
        <v>39448</v>
      </c>
      <c r="C166" s="256">
        <v>2746.37</v>
      </c>
      <c r="D166" s="256">
        <v>0.54</v>
      </c>
      <c r="E166" s="256">
        <v>0.54</v>
      </c>
      <c r="F166" s="256">
        <v>4.5599999999999996</v>
      </c>
    </row>
    <row r="167" spans="2:6" hidden="1">
      <c r="B167" s="266">
        <v>39479</v>
      </c>
      <c r="C167" s="256">
        <v>2759.83</v>
      </c>
      <c r="D167" s="256">
        <v>0.49</v>
      </c>
      <c r="E167" s="256">
        <v>1.03</v>
      </c>
      <c r="F167" s="256">
        <v>4.6100000000000003</v>
      </c>
    </row>
    <row r="168" spans="2:6" hidden="1">
      <c r="B168" s="266">
        <v>39508</v>
      </c>
      <c r="C168" s="256">
        <v>2773.08</v>
      </c>
      <c r="D168" s="256">
        <v>0.48</v>
      </c>
      <c r="E168" s="256">
        <v>1.52</v>
      </c>
      <c r="F168" s="256">
        <v>4.7300000000000004</v>
      </c>
    </row>
    <row r="169" spans="2:6" hidden="1">
      <c r="B169" s="266">
        <v>39539</v>
      </c>
      <c r="C169" s="256">
        <v>2788.33</v>
      </c>
      <c r="D169" s="256">
        <v>0.55000000000000004</v>
      </c>
      <c r="E169" s="256">
        <v>2.08</v>
      </c>
      <c r="F169" s="256">
        <v>5.04</v>
      </c>
    </row>
    <row r="170" spans="2:6" hidden="1">
      <c r="B170" s="266">
        <v>39569</v>
      </c>
      <c r="C170" s="256">
        <v>2810.36</v>
      </c>
      <c r="D170" s="256">
        <v>0.79</v>
      </c>
      <c r="E170" s="256">
        <v>2.88</v>
      </c>
      <c r="F170" s="256">
        <v>5.58</v>
      </c>
    </row>
    <row r="171" spans="2:6" hidden="1">
      <c r="B171" s="266">
        <v>39600</v>
      </c>
      <c r="C171" s="256">
        <v>2831.16</v>
      </c>
      <c r="D171" s="256">
        <v>0.74</v>
      </c>
      <c r="E171" s="256">
        <v>3.64</v>
      </c>
      <c r="F171" s="256">
        <v>6.06</v>
      </c>
    </row>
    <row r="172" spans="2:6" hidden="1">
      <c r="B172" s="266">
        <v>39630</v>
      </c>
      <c r="C172" s="256">
        <v>2846.16</v>
      </c>
      <c r="D172" s="256">
        <v>0.53</v>
      </c>
      <c r="E172" s="256">
        <v>4.1900000000000004</v>
      </c>
      <c r="F172" s="256">
        <v>6.37</v>
      </c>
    </row>
    <row r="173" spans="2:6" hidden="1">
      <c r="B173" s="266">
        <v>39661</v>
      </c>
      <c r="C173" s="256">
        <v>2854.13</v>
      </c>
      <c r="D173" s="256">
        <v>0.28000000000000003</v>
      </c>
      <c r="E173" s="256">
        <v>4.4800000000000004</v>
      </c>
      <c r="F173" s="256">
        <v>6.17</v>
      </c>
    </row>
    <row r="174" spans="2:6" hidden="1">
      <c r="B174" s="266">
        <v>39692</v>
      </c>
      <c r="C174" s="256">
        <v>2861.55</v>
      </c>
      <c r="D174" s="256">
        <v>0.26</v>
      </c>
      <c r="E174" s="256">
        <v>4.76</v>
      </c>
      <c r="F174" s="256">
        <v>6.25</v>
      </c>
    </row>
    <row r="175" spans="2:6" hidden="1">
      <c r="B175" s="266">
        <v>39722</v>
      </c>
      <c r="C175" s="256">
        <v>2874.43</v>
      </c>
      <c r="D175" s="256">
        <v>0.45</v>
      </c>
      <c r="E175" s="256">
        <v>5.23</v>
      </c>
      <c r="F175" s="256">
        <v>6.41</v>
      </c>
    </row>
    <row r="176" spans="2:6" hidden="1">
      <c r="B176" s="266">
        <v>39753</v>
      </c>
      <c r="C176" s="256">
        <v>2884.78</v>
      </c>
      <c r="D176" s="256">
        <v>0.36</v>
      </c>
      <c r="E176" s="256">
        <v>5.61</v>
      </c>
      <c r="F176" s="256">
        <v>6.39</v>
      </c>
    </row>
    <row r="177" spans="2:6" hidden="1">
      <c r="B177" s="266">
        <v>39783</v>
      </c>
      <c r="C177" s="256">
        <v>2892.86</v>
      </c>
      <c r="D177" s="256">
        <v>0.28000000000000003</v>
      </c>
      <c r="E177" s="256">
        <v>5.9</v>
      </c>
      <c r="F177" s="256">
        <v>5.9</v>
      </c>
    </row>
    <row r="178" spans="2:6" hidden="1">
      <c r="B178" s="266">
        <v>39814</v>
      </c>
      <c r="C178" s="256">
        <v>2906.74</v>
      </c>
      <c r="D178" s="256">
        <v>0.48</v>
      </c>
      <c r="E178" s="256">
        <v>0.48</v>
      </c>
      <c r="F178" s="256">
        <v>5.84</v>
      </c>
    </row>
    <row r="179" spans="2:6" hidden="1">
      <c r="B179" s="266">
        <v>39845</v>
      </c>
      <c r="C179" s="256">
        <v>2922.73</v>
      </c>
      <c r="D179" s="256">
        <v>0.55000000000000004</v>
      </c>
      <c r="E179" s="256">
        <v>1.03</v>
      </c>
      <c r="F179" s="256">
        <v>5.9</v>
      </c>
    </row>
    <row r="180" spans="2:6" hidden="1">
      <c r="B180" s="266">
        <v>39873</v>
      </c>
      <c r="C180" s="256">
        <v>2928.57</v>
      </c>
      <c r="D180" s="256">
        <v>0.2</v>
      </c>
      <c r="E180" s="256">
        <v>1.23</v>
      </c>
      <c r="F180" s="256">
        <v>5.61</v>
      </c>
    </row>
    <row r="181" spans="2:6" hidden="1">
      <c r="B181" s="266">
        <v>39904</v>
      </c>
      <c r="C181" s="256">
        <v>2942.63</v>
      </c>
      <c r="D181" s="256">
        <v>0.48</v>
      </c>
      <c r="E181" s="256">
        <v>1.72</v>
      </c>
      <c r="F181" s="256">
        <v>5.53</v>
      </c>
    </row>
    <row r="182" spans="2:6" hidden="1">
      <c r="B182" s="266">
        <v>39934</v>
      </c>
      <c r="C182" s="256">
        <v>2956.46</v>
      </c>
      <c r="D182" s="256">
        <v>0.47</v>
      </c>
      <c r="E182" s="256">
        <v>2.2000000000000002</v>
      </c>
      <c r="F182" s="256">
        <v>5.2</v>
      </c>
    </row>
    <row r="183" spans="2:6" hidden="1">
      <c r="B183" s="266">
        <v>39965</v>
      </c>
      <c r="C183" s="256">
        <v>2967.1</v>
      </c>
      <c r="D183" s="256">
        <v>0.36</v>
      </c>
      <c r="E183" s="256">
        <v>2.57</v>
      </c>
      <c r="F183" s="256">
        <v>4.8</v>
      </c>
    </row>
    <row r="184" spans="2:6" hidden="1">
      <c r="B184" s="266">
        <v>39995</v>
      </c>
      <c r="C184" s="256">
        <v>2974.22</v>
      </c>
      <c r="D184" s="256">
        <v>0.24</v>
      </c>
      <c r="E184" s="256">
        <v>2.81</v>
      </c>
      <c r="F184" s="256">
        <v>4.5</v>
      </c>
    </row>
    <row r="185" spans="2:6" hidden="1">
      <c r="B185" s="266">
        <v>40026</v>
      </c>
      <c r="C185" s="256">
        <v>2978.68</v>
      </c>
      <c r="D185" s="256">
        <v>0.15</v>
      </c>
      <c r="E185" s="256">
        <v>2.97</v>
      </c>
      <c r="F185" s="256">
        <v>4.3600000000000003</v>
      </c>
    </row>
    <row r="186" spans="2:6" hidden="1">
      <c r="B186" s="266">
        <v>40057</v>
      </c>
      <c r="C186" s="256">
        <v>2985.83</v>
      </c>
      <c r="D186" s="256">
        <v>0.24</v>
      </c>
      <c r="E186" s="256">
        <v>3.21</v>
      </c>
      <c r="F186" s="256">
        <v>4.34</v>
      </c>
    </row>
    <row r="187" spans="2:6" hidden="1">
      <c r="B187" s="266">
        <v>40087</v>
      </c>
      <c r="C187" s="256">
        <v>2994.19</v>
      </c>
      <c r="D187" s="256">
        <v>0.28000000000000003</v>
      </c>
      <c r="E187" s="256">
        <v>3.5</v>
      </c>
      <c r="F187" s="256">
        <v>4.17</v>
      </c>
    </row>
    <row r="188" spans="2:6" hidden="1">
      <c r="B188" s="266">
        <v>40118</v>
      </c>
      <c r="C188" s="256">
        <v>3006.47</v>
      </c>
      <c r="D188" s="256">
        <v>0.41</v>
      </c>
      <c r="E188" s="256">
        <v>3.93</v>
      </c>
      <c r="F188" s="256">
        <v>4.22</v>
      </c>
    </row>
    <row r="189" spans="2:6" hidden="1">
      <c r="B189" s="266">
        <v>40148</v>
      </c>
      <c r="C189" s="256">
        <v>3017.59</v>
      </c>
      <c r="D189" s="256">
        <v>0.37</v>
      </c>
      <c r="E189" s="256">
        <v>4.3099999999999996</v>
      </c>
      <c r="F189" s="256">
        <v>4.3099999999999996</v>
      </c>
    </row>
    <row r="190" spans="2:6" hidden="1">
      <c r="B190" s="266">
        <v>40179</v>
      </c>
      <c r="C190" s="256">
        <v>3040.22</v>
      </c>
      <c r="D190" s="256">
        <v>0.75</v>
      </c>
      <c r="E190" s="256">
        <v>0.75</v>
      </c>
      <c r="F190" s="256">
        <v>4.59</v>
      </c>
    </row>
    <row r="191" spans="2:6" hidden="1">
      <c r="B191" s="266">
        <v>40210</v>
      </c>
      <c r="C191" s="256">
        <v>3063.93</v>
      </c>
      <c r="D191" s="256">
        <v>0.78</v>
      </c>
      <c r="E191" s="256">
        <v>1.54</v>
      </c>
      <c r="F191" s="256">
        <v>4.83</v>
      </c>
    </row>
    <row r="192" spans="2:6" hidden="1">
      <c r="B192" s="266">
        <v>40238</v>
      </c>
      <c r="C192" s="256">
        <v>3079.86</v>
      </c>
      <c r="D192" s="256">
        <v>0.52</v>
      </c>
      <c r="E192" s="256">
        <v>2.06</v>
      </c>
      <c r="F192" s="256">
        <v>5.17</v>
      </c>
    </row>
    <row r="193" spans="2:6" hidden="1">
      <c r="B193" s="266">
        <v>40269</v>
      </c>
      <c r="C193" s="256">
        <v>3097.42</v>
      </c>
      <c r="D193" s="256">
        <v>0.56999999999999995</v>
      </c>
      <c r="E193" s="256">
        <v>2.65</v>
      </c>
      <c r="F193" s="256">
        <v>5.26</v>
      </c>
    </row>
    <row r="194" spans="2:6" hidden="1">
      <c r="B194" s="266">
        <v>40299</v>
      </c>
      <c r="C194" s="256">
        <v>3110.74</v>
      </c>
      <c r="D194" s="256">
        <v>0.43</v>
      </c>
      <c r="E194" s="256">
        <v>3.09</v>
      </c>
      <c r="F194" s="256">
        <v>5.22</v>
      </c>
    </row>
    <row r="195" spans="2:6" hidden="1">
      <c r="B195" s="266">
        <v>40330</v>
      </c>
      <c r="C195" s="256">
        <v>3110.74</v>
      </c>
      <c r="D195" s="256">
        <v>0</v>
      </c>
      <c r="E195" s="256">
        <v>3.09</v>
      </c>
      <c r="F195" s="256">
        <v>4.84</v>
      </c>
    </row>
    <row r="196" spans="2:6" hidden="1">
      <c r="B196" s="266">
        <v>40360</v>
      </c>
      <c r="C196" s="256">
        <v>3111.05</v>
      </c>
      <c r="D196" s="256">
        <v>0.01</v>
      </c>
      <c r="E196" s="256">
        <v>3.1</v>
      </c>
      <c r="F196" s="256">
        <v>4.5999999999999996</v>
      </c>
    </row>
    <row r="197" spans="2:6" hidden="1">
      <c r="B197" s="266">
        <v>40391</v>
      </c>
      <c r="C197" s="256">
        <v>3112.29</v>
      </c>
      <c r="D197" s="256">
        <v>0.04</v>
      </c>
      <c r="E197" s="256">
        <v>3.14</v>
      </c>
      <c r="F197" s="256">
        <v>4.49</v>
      </c>
    </row>
    <row r="198" spans="2:6" hidden="1">
      <c r="B198" s="266">
        <v>40422</v>
      </c>
      <c r="C198" s="256">
        <v>3126.29</v>
      </c>
      <c r="D198" s="256">
        <v>0.45</v>
      </c>
      <c r="E198" s="256">
        <v>3.6</v>
      </c>
      <c r="F198" s="256">
        <v>4.7</v>
      </c>
    </row>
    <row r="199" spans="2:6" hidden="1">
      <c r="B199" s="266">
        <v>40452</v>
      </c>
      <c r="C199" s="256">
        <v>3149.74</v>
      </c>
      <c r="D199" s="256">
        <v>0.75</v>
      </c>
      <c r="E199" s="256">
        <v>4.38</v>
      </c>
      <c r="F199" s="256">
        <v>5.2</v>
      </c>
    </row>
    <row r="200" spans="2:6" hidden="1">
      <c r="B200" s="266">
        <v>40483</v>
      </c>
      <c r="C200" s="256">
        <v>3175.88</v>
      </c>
      <c r="D200" s="256">
        <v>0.83</v>
      </c>
      <c r="E200" s="256">
        <v>5.25</v>
      </c>
      <c r="F200" s="256">
        <v>5.63</v>
      </c>
    </row>
    <row r="201" spans="2:6" hidden="1">
      <c r="B201" s="266">
        <v>40513</v>
      </c>
      <c r="C201" s="256">
        <v>3195.89</v>
      </c>
      <c r="D201" s="256">
        <v>0.63</v>
      </c>
      <c r="E201" s="256">
        <v>5.91</v>
      </c>
      <c r="F201" s="256">
        <v>5.91</v>
      </c>
    </row>
    <row r="202" spans="2:6" hidden="1">
      <c r="B202" s="266">
        <v>40544</v>
      </c>
      <c r="C202" s="256">
        <v>3222.42</v>
      </c>
      <c r="D202" s="256">
        <v>0.83</v>
      </c>
      <c r="E202" s="256">
        <v>0.83</v>
      </c>
      <c r="F202" s="256">
        <v>5.99</v>
      </c>
    </row>
    <row r="203" spans="2:6" hidden="1">
      <c r="B203" s="266">
        <v>40575</v>
      </c>
      <c r="C203" s="256">
        <v>3248.2</v>
      </c>
      <c r="D203" s="256">
        <v>0.8</v>
      </c>
      <c r="E203" s="256">
        <v>1.64</v>
      </c>
      <c r="F203" s="256">
        <v>6.01</v>
      </c>
    </row>
    <row r="204" spans="2:6" hidden="1">
      <c r="B204" s="266">
        <v>40603</v>
      </c>
      <c r="C204" s="256">
        <v>3273.86</v>
      </c>
      <c r="D204" s="256">
        <v>0.79</v>
      </c>
      <c r="E204" s="256">
        <v>2.44</v>
      </c>
      <c r="F204" s="256">
        <v>6.3</v>
      </c>
    </row>
    <row r="205" spans="2:6" hidden="1">
      <c r="B205" s="266">
        <v>40634</v>
      </c>
      <c r="C205" s="256">
        <v>3299.07</v>
      </c>
      <c r="D205" s="256">
        <v>0.77</v>
      </c>
      <c r="E205" s="256">
        <v>3.23</v>
      </c>
      <c r="F205" s="256">
        <v>6.51</v>
      </c>
    </row>
    <row r="206" spans="2:6" hidden="1">
      <c r="B206" s="266">
        <v>40664</v>
      </c>
      <c r="C206" s="256">
        <v>3314.58</v>
      </c>
      <c r="D206" s="256">
        <v>0.47</v>
      </c>
      <c r="E206" s="256">
        <v>3.71</v>
      </c>
      <c r="F206" s="256">
        <v>6.55</v>
      </c>
    </row>
    <row r="207" spans="2:6" hidden="1">
      <c r="B207" s="266">
        <v>40695</v>
      </c>
      <c r="C207" s="256">
        <v>3319.55</v>
      </c>
      <c r="D207" s="256">
        <v>0.15</v>
      </c>
      <c r="E207" s="256">
        <v>3.87</v>
      </c>
      <c r="F207" s="256">
        <v>6.71</v>
      </c>
    </row>
    <row r="208" spans="2:6" hidden="1">
      <c r="B208" s="266">
        <v>40726</v>
      </c>
      <c r="C208" s="256">
        <v>3324.86</v>
      </c>
      <c r="D208" s="256">
        <v>0.16</v>
      </c>
      <c r="E208" s="256">
        <v>4.04</v>
      </c>
      <c r="F208" s="256">
        <v>6.87</v>
      </c>
    </row>
    <row r="209" spans="2:6" hidden="1">
      <c r="B209" s="266">
        <v>40756</v>
      </c>
      <c r="C209" s="256">
        <v>3337.16</v>
      </c>
      <c r="D209" s="256">
        <v>0.37</v>
      </c>
      <c r="E209" s="256">
        <v>4.42</v>
      </c>
      <c r="F209" s="256">
        <v>7.23</v>
      </c>
    </row>
    <row r="210" spans="2:6" hidden="1">
      <c r="B210" s="266">
        <v>40787</v>
      </c>
      <c r="C210" s="256">
        <v>3354.85</v>
      </c>
      <c r="D210" s="256">
        <v>0.53</v>
      </c>
      <c r="E210" s="256">
        <v>4.97</v>
      </c>
      <c r="F210" s="256">
        <v>7.31</v>
      </c>
    </row>
    <row r="211" spans="2:6" hidden="1">
      <c r="B211" s="266">
        <v>40817</v>
      </c>
      <c r="C211" s="256">
        <v>3369.28</v>
      </c>
      <c r="D211" s="256">
        <v>0.43</v>
      </c>
      <c r="E211" s="256">
        <v>5.43</v>
      </c>
      <c r="F211" s="256">
        <v>6.97</v>
      </c>
    </row>
    <row r="212" spans="2:6" hidden="1">
      <c r="B212" s="266">
        <v>40848</v>
      </c>
      <c r="C212" s="256">
        <v>3386.8</v>
      </c>
      <c r="D212" s="256">
        <v>0.52</v>
      </c>
      <c r="E212" s="256">
        <v>5.97</v>
      </c>
      <c r="F212" s="256">
        <v>6.64</v>
      </c>
    </row>
    <row r="213" spans="2:6" hidden="1">
      <c r="B213" s="266">
        <v>40878</v>
      </c>
      <c r="C213" s="256">
        <v>3403.73</v>
      </c>
      <c r="D213" s="256">
        <v>0.5</v>
      </c>
      <c r="E213" s="256">
        <v>6.5</v>
      </c>
      <c r="F213" s="256">
        <v>6.5</v>
      </c>
    </row>
    <row r="214" spans="2:6" hidden="1">
      <c r="B214" s="266">
        <v>40909</v>
      </c>
      <c r="C214" s="256">
        <v>3422.79</v>
      </c>
      <c r="D214" s="256">
        <v>0.56000000000000005</v>
      </c>
      <c r="E214" s="256">
        <v>0.56000000000000005</v>
      </c>
      <c r="F214" s="256">
        <v>6.22</v>
      </c>
    </row>
    <row r="215" spans="2:6" hidden="1">
      <c r="B215" s="266">
        <v>40940</v>
      </c>
      <c r="C215" s="256">
        <v>3438.19</v>
      </c>
      <c r="D215" s="256">
        <v>0.45</v>
      </c>
      <c r="E215" s="256">
        <v>1.01</v>
      </c>
      <c r="F215" s="256">
        <v>5.85</v>
      </c>
    </row>
    <row r="216" spans="2:6" hidden="1">
      <c r="B216" s="266">
        <v>40969</v>
      </c>
      <c r="C216" s="256">
        <v>3445.41</v>
      </c>
      <c r="D216" s="256">
        <v>0.21</v>
      </c>
      <c r="E216" s="256">
        <v>1.22</v>
      </c>
      <c r="F216" s="256">
        <v>5.24</v>
      </c>
    </row>
    <row r="217" spans="2:6" hidden="1">
      <c r="B217" s="266">
        <v>41000</v>
      </c>
      <c r="C217" s="256">
        <v>3467.46</v>
      </c>
      <c r="D217" s="256">
        <v>0.64</v>
      </c>
      <c r="E217" s="256">
        <v>1.87</v>
      </c>
      <c r="F217" s="256">
        <v>5.0999999999999996</v>
      </c>
    </row>
    <row r="218" spans="2:6" hidden="1">
      <c r="B218" s="266">
        <v>41030</v>
      </c>
      <c r="C218" s="256">
        <v>3479.94</v>
      </c>
      <c r="D218" s="256">
        <v>0.36</v>
      </c>
      <c r="E218" s="256">
        <v>2.2400000000000002</v>
      </c>
      <c r="F218" s="256">
        <v>4.99</v>
      </c>
    </row>
    <row r="219" spans="2:6" hidden="1">
      <c r="B219" s="266">
        <v>41061</v>
      </c>
      <c r="C219" s="256">
        <v>3482.72</v>
      </c>
      <c r="D219" s="256">
        <v>0.08</v>
      </c>
      <c r="E219" s="256">
        <v>2.3199999999999998</v>
      </c>
      <c r="F219" s="256">
        <v>4.92</v>
      </c>
    </row>
    <row r="220" spans="2:6" hidden="1">
      <c r="B220" s="266">
        <v>41091</v>
      </c>
      <c r="C220" s="256">
        <v>3497.7</v>
      </c>
      <c r="D220" s="256">
        <v>0.43</v>
      </c>
      <c r="E220" s="256">
        <v>2.76</v>
      </c>
      <c r="F220" s="256">
        <v>5.2</v>
      </c>
    </row>
    <row r="221" spans="2:6" hidden="1">
      <c r="B221" s="266">
        <v>41122</v>
      </c>
      <c r="C221" s="256">
        <v>3512.04</v>
      </c>
      <c r="D221" s="256">
        <v>0.41</v>
      </c>
      <c r="E221" s="256">
        <v>3.18</v>
      </c>
      <c r="F221" s="256">
        <v>5.24</v>
      </c>
    </row>
    <row r="222" spans="2:6" hidden="1">
      <c r="B222" s="266">
        <v>41153</v>
      </c>
      <c r="C222" s="256">
        <v>3532.06</v>
      </c>
      <c r="D222" s="256">
        <v>0.56999999999999995</v>
      </c>
      <c r="E222" s="256">
        <v>3.77</v>
      </c>
      <c r="F222" s="256">
        <v>5.28</v>
      </c>
    </row>
    <row r="223" spans="2:6" hidden="1">
      <c r="B223" s="266">
        <v>41183</v>
      </c>
      <c r="C223" s="256">
        <v>3552.9</v>
      </c>
      <c r="D223" s="256">
        <v>0.59</v>
      </c>
      <c r="E223" s="256">
        <v>4.38</v>
      </c>
      <c r="F223" s="256">
        <v>5.45</v>
      </c>
    </row>
    <row r="224" spans="2:6" hidden="1">
      <c r="B224" s="266">
        <v>41214</v>
      </c>
      <c r="C224" s="256">
        <v>3574.22</v>
      </c>
      <c r="D224" s="256">
        <v>0.6</v>
      </c>
      <c r="E224" s="256">
        <v>5.01</v>
      </c>
      <c r="F224" s="256">
        <v>5.53</v>
      </c>
    </row>
    <row r="225" spans="2:6" hidden="1">
      <c r="B225" s="266">
        <v>41244</v>
      </c>
      <c r="C225" s="256">
        <v>3602.46</v>
      </c>
      <c r="D225" s="256">
        <v>0.79</v>
      </c>
      <c r="E225" s="256">
        <v>5.84</v>
      </c>
      <c r="F225" s="256">
        <v>5.84</v>
      </c>
    </row>
    <row r="226" spans="2:6" hidden="1">
      <c r="B226" s="266">
        <v>41275</v>
      </c>
      <c r="C226" s="256">
        <v>3633.44</v>
      </c>
      <c r="D226" s="256">
        <v>0.86</v>
      </c>
      <c r="E226" s="256">
        <v>0.86</v>
      </c>
      <c r="F226" s="256">
        <v>6.15</v>
      </c>
    </row>
    <row r="227" spans="2:6" hidden="1">
      <c r="B227" s="266">
        <v>41306</v>
      </c>
      <c r="C227" s="256">
        <v>3655.24</v>
      </c>
      <c r="D227" s="256">
        <v>0.6</v>
      </c>
      <c r="E227" s="256">
        <v>1.47</v>
      </c>
      <c r="F227" s="256">
        <v>6.31</v>
      </c>
    </row>
    <row r="228" spans="2:6" hidden="1">
      <c r="B228" s="266">
        <v>41334</v>
      </c>
      <c r="C228" s="256">
        <v>3672.42</v>
      </c>
      <c r="D228" s="256">
        <v>0.47</v>
      </c>
      <c r="E228" s="256">
        <v>1.94</v>
      </c>
      <c r="F228" s="256">
        <v>6.59</v>
      </c>
    </row>
    <row r="229" spans="2:6" hidden="1">
      <c r="B229" s="266">
        <v>41365</v>
      </c>
      <c r="C229" s="256">
        <v>3692.62</v>
      </c>
      <c r="D229" s="256">
        <v>0.55000000000000004</v>
      </c>
      <c r="E229" s="256">
        <v>2.5</v>
      </c>
      <c r="F229" s="256">
        <v>6.49</v>
      </c>
    </row>
    <row r="230" spans="2:6" hidden="1">
      <c r="B230" s="266">
        <v>41395</v>
      </c>
      <c r="C230" s="256">
        <v>3706.28</v>
      </c>
      <c r="D230" s="256">
        <v>0.37</v>
      </c>
      <c r="E230" s="256">
        <v>2.88</v>
      </c>
      <c r="F230" s="256">
        <v>6.5</v>
      </c>
    </row>
    <row r="231" spans="2:6" hidden="1">
      <c r="B231" s="266">
        <v>41426</v>
      </c>
      <c r="C231" s="256">
        <v>3715.92</v>
      </c>
      <c r="D231" s="256">
        <v>0.26</v>
      </c>
      <c r="E231" s="256">
        <v>3.15</v>
      </c>
      <c r="F231" s="256">
        <v>6.7</v>
      </c>
    </row>
    <row r="232" spans="2:6" hidden="1">
      <c r="B232" s="266">
        <v>41456</v>
      </c>
      <c r="C232" s="256">
        <v>3717.03</v>
      </c>
      <c r="D232" s="256">
        <v>0.03</v>
      </c>
      <c r="E232" s="256">
        <v>3.18</v>
      </c>
      <c r="F232" s="256">
        <v>6.27</v>
      </c>
    </row>
    <row r="233" spans="2:6" hidden="1">
      <c r="B233" s="266">
        <v>41487</v>
      </c>
      <c r="C233" s="256">
        <v>3725.95</v>
      </c>
      <c r="D233" s="256">
        <v>0.24</v>
      </c>
      <c r="E233" s="256">
        <v>3.43</v>
      </c>
      <c r="F233" s="256">
        <v>6.09</v>
      </c>
    </row>
    <row r="234" spans="2:6" hidden="1">
      <c r="B234" s="266">
        <v>41518</v>
      </c>
      <c r="C234" s="256">
        <v>3738.99</v>
      </c>
      <c r="D234" s="256">
        <v>0.35</v>
      </c>
      <c r="E234" s="256">
        <v>3.79</v>
      </c>
      <c r="F234" s="256">
        <v>5.86</v>
      </c>
    </row>
    <row r="235" spans="2:6" hidden="1">
      <c r="B235" s="266">
        <v>41548</v>
      </c>
      <c r="C235" s="256">
        <v>3760.3</v>
      </c>
      <c r="D235" s="256">
        <v>0.56999999999999995</v>
      </c>
      <c r="E235" s="256">
        <v>4.38</v>
      </c>
      <c r="F235" s="256">
        <v>5.84</v>
      </c>
    </row>
    <row r="236" spans="2:6" hidden="1">
      <c r="B236" s="266">
        <v>41579</v>
      </c>
      <c r="C236" s="256">
        <v>3780.61</v>
      </c>
      <c r="D236" s="256">
        <v>0.54</v>
      </c>
      <c r="E236" s="256">
        <v>4.95</v>
      </c>
      <c r="F236" s="256">
        <v>5.77</v>
      </c>
    </row>
    <row r="237" spans="2:6" hidden="1">
      <c r="B237" s="266">
        <v>41609</v>
      </c>
      <c r="C237" s="256">
        <v>3815.39</v>
      </c>
      <c r="D237" s="256">
        <v>0.92</v>
      </c>
      <c r="E237" s="256">
        <v>5.91</v>
      </c>
      <c r="F237" s="256">
        <v>5.91</v>
      </c>
    </row>
    <row r="238" spans="2:6" hidden="1">
      <c r="B238" s="266">
        <v>41640</v>
      </c>
      <c r="C238" s="256">
        <v>3836.37</v>
      </c>
      <c r="D238" s="256">
        <v>0.55000000000000004</v>
      </c>
      <c r="E238" s="256">
        <v>0.55000000000000004</v>
      </c>
      <c r="F238" s="256">
        <v>5.59</v>
      </c>
    </row>
    <row r="239" spans="2:6" hidden="1">
      <c r="B239" s="266">
        <v>41671</v>
      </c>
      <c r="C239" s="256">
        <v>3862.84</v>
      </c>
      <c r="D239" s="256">
        <v>0.69</v>
      </c>
      <c r="E239" s="256">
        <v>1.24</v>
      </c>
      <c r="F239" s="256">
        <v>5.68</v>
      </c>
    </row>
    <row r="240" spans="2:6" hidden="1">
      <c r="B240" s="266">
        <v>41699</v>
      </c>
      <c r="C240" s="256">
        <v>3898.38</v>
      </c>
      <c r="D240" s="256">
        <v>0.92</v>
      </c>
      <c r="E240" s="256">
        <v>2.1800000000000002</v>
      </c>
      <c r="F240" s="256">
        <v>6.15</v>
      </c>
    </row>
    <row r="241" spans="2:6" hidden="1">
      <c r="B241" s="266">
        <v>41730</v>
      </c>
      <c r="C241" s="256">
        <v>3924.5</v>
      </c>
      <c r="D241" s="256">
        <v>0.67</v>
      </c>
      <c r="E241" s="256">
        <v>2.86</v>
      </c>
      <c r="F241" s="256">
        <v>6.28</v>
      </c>
    </row>
    <row r="242" spans="2:6" hidden="1">
      <c r="B242" s="266">
        <v>41760</v>
      </c>
      <c r="C242" s="256">
        <v>3942.55</v>
      </c>
      <c r="D242" s="256">
        <v>0.46</v>
      </c>
      <c r="E242" s="256">
        <v>3.33</v>
      </c>
      <c r="F242" s="256">
        <v>6.37</v>
      </c>
    </row>
    <row r="243" spans="2:6" hidden="1">
      <c r="B243" s="266">
        <v>41791</v>
      </c>
      <c r="C243" s="256">
        <v>3958.32</v>
      </c>
      <c r="D243" s="256">
        <v>0.4</v>
      </c>
      <c r="E243" s="256">
        <v>3.75</v>
      </c>
      <c r="F243" s="256">
        <v>6.52</v>
      </c>
    </row>
    <row r="244" spans="2:6" hidden="1">
      <c r="B244" s="266">
        <v>41821</v>
      </c>
      <c r="C244" s="256">
        <v>3958.72</v>
      </c>
      <c r="D244" s="256">
        <v>0.01</v>
      </c>
      <c r="E244" s="256">
        <v>3.76</v>
      </c>
      <c r="F244" s="256">
        <v>6.5</v>
      </c>
    </row>
    <row r="245" spans="2:6" hidden="1">
      <c r="B245" s="266">
        <v>41852</v>
      </c>
      <c r="C245" s="256">
        <v>3968.62</v>
      </c>
      <c r="D245" s="256">
        <v>0.25</v>
      </c>
      <c r="E245" s="256">
        <v>4.0199999999999996</v>
      </c>
      <c r="F245" s="256">
        <v>6.51</v>
      </c>
    </row>
    <row r="246" spans="2:6" hidden="1">
      <c r="B246" s="266">
        <v>41883</v>
      </c>
      <c r="C246" s="256">
        <v>3991.24</v>
      </c>
      <c r="D246" s="256">
        <v>0.56999999999999995</v>
      </c>
      <c r="E246" s="256">
        <v>4.6100000000000003</v>
      </c>
      <c r="F246" s="256">
        <v>6.75</v>
      </c>
    </row>
    <row r="247" spans="2:6" hidden="1">
      <c r="B247" s="266">
        <v>41913</v>
      </c>
      <c r="C247" s="256">
        <v>4008</v>
      </c>
      <c r="D247" s="256">
        <v>0.42</v>
      </c>
      <c r="E247" s="256">
        <v>5.05</v>
      </c>
      <c r="F247" s="256">
        <v>6.59</v>
      </c>
    </row>
    <row r="248" spans="2:6" hidden="1">
      <c r="B248" s="266">
        <v>41944</v>
      </c>
      <c r="C248" s="256">
        <v>4028.44</v>
      </c>
      <c r="D248" s="256">
        <v>0.51</v>
      </c>
      <c r="E248" s="256">
        <v>5.58</v>
      </c>
      <c r="F248" s="256">
        <v>6.56</v>
      </c>
    </row>
    <row r="249" spans="2:6" hidden="1">
      <c r="B249" s="266">
        <v>41974</v>
      </c>
      <c r="C249" s="256">
        <v>4059.86</v>
      </c>
      <c r="D249" s="256">
        <v>0.78</v>
      </c>
      <c r="E249" s="256">
        <v>6.41</v>
      </c>
      <c r="F249" s="256">
        <v>6.41</v>
      </c>
    </row>
    <row r="250" spans="2:6" hidden="1">
      <c r="B250" s="266">
        <v>42005</v>
      </c>
      <c r="C250" s="256">
        <v>4110.2</v>
      </c>
      <c r="D250" s="256">
        <v>1.24</v>
      </c>
      <c r="E250" s="256">
        <v>1.24</v>
      </c>
      <c r="F250" s="256">
        <v>7.14</v>
      </c>
    </row>
    <row r="251" spans="2:6" hidden="1">
      <c r="B251" s="266">
        <v>42036</v>
      </c>
      <c r="C251" s="256">
        <v>4160.34</v>
      </c>
      <c r="D251" s="256">
        <v>1.22</v>
      </c>
      <c r="E251" s="256">
        <v>2.48</v>
      </c>
      <c r="F251" s="256">
        <v>7.7</v>
      </c>
    </row>
    <row r="252" spans="2:6" hidden="1">
      <c r="B252" s="266">
        <v>42064</v>
      </c>
      <c r="C252" s="256">
        <v>4215.26</v>
      </c>
      <c r="D252" s="256">
        <v>1.32</v>
      </c>
      <c r="E252" s="256">
        <v>3.83</v>
      </c>
      <c r="F252" s="256">
        <v>8.1300000000000008</v>
      </c>
    </row>
    <row r="253" spans="2:6" hidden="1">
      <c r="B253" s="266">
        <v>42095</v>
      </c>
      <c r="C253" s="256">
        <v>4245.1899999999996</v>
      </c>
      <c r="D253" s="256">
        <v>0.71</v>
      </c>
      <c r="E253" s="256">
        <v>4.5599999999999996</v>
      </c>
      <c r="F253" s="256">
        <v>8.17</v>
      </c>
    </row>
    <row r="254" spans="2:6" hidden="1">
      <c r="B254" s="266">
        <v>42125</v>
      </c>
      <c r="C254" s="256">
        <v>4276.6000000000004</v>
      </c>
      <c r="D254" s="256">
        <v>0.74</v>
      </c>
      <c r="E254" s="256">
        <v>5.34</v>
      </c>
      <c r="F254" s="256">
        <v>8.4700000000000006</v>
      </c>
    </row>
    <row r="255" spans="2:6" hidden="1">
      <c r="B255" s="266">
        <v>42156</v>
      </c>
      <c r="C255" s="256">
        <v>4310.3900000000003</v>
      </c>
      <c r="D255" s="256">
        <v>0.79</v>
      </c>
      <c r="E255" s="256">
        <v>6.17</v>
      </c>
      <c r="F255" s="256">
        <v>8.89</v>
      </c>
    </row>
    <row r="256" spans="2:6" hidden="1">
      <c r="B256" s="266">
        <v>42186</v>
      </c>
      <c r="C256" s="256">
        <v>4337.1099999999997</v>
      </c>
      <c r="D256" s="256">
        <v>0.62</v>
      </c>
      <c r="E256" s="256">
        <v>6.83</v>
      </c>
      <c r="F256" s="256">
        <v>9.56</v>
      </c>
    </row>
    <row r="257" spans="2:6" hidden="1">
      <c r="B257" s="266">
        <v>42217</v>
      </c>
      <c r="C257" s="256">
        <v>4346.6499999999996</v>
      </c>
      <c r="D257" s="256">
        <v>0.22</v>
      </c>
      <c r="E257" s="256">
        <v>7.06</v>
      </c>
      <c r="F257" s="256">
        <v>9.5299999999999994</v>
      </c>
    </row>
    <row r="258" spans="2:6" hidden="1">
      <c r="B258" s="266">
        <v>42248</v>
      </c>
      <c r="C258" s="256">
        <v>4370.12</v>
      </c>
      <c r="D258" s="256">
        <v>0.54</v>
      </c>
      <c r="E258" s="256">
        <v>7.64</v>
      </c>
      <c r="F258" s="256">
        <v>9.49</v>
      </c>
    </row>
    <row r="259" spans="2:6" hidden="1">
      <c r="B259" s="266">
        <v>42278</v>
      </c>
      <c r="C259" s="256">
        <v>4405.95</v>
      </c>
      <c r="D259" s="256">
        <v>0.82</v>
      </c>
      <c r="E259" s="256">
        <v>8.52</v>
      </c>
      <c r="F259" s="256">
        <v>9.93</v>
      </c>
    </row>
    <row r="260" spans="2:6" hidden="1">
      <c r="B260" s="266">
        <v>42309</v>
      </c>
      <c r="C260" s="256">
        <v>4450.45</v>
      </c>
      <c r="D260" s="256">
        <v>1.01</v>
      </c>
      <c r="E260" s="256">
        <v>9.6199999999999992</v>
      </c>
      <c r="F260" s="256">
        <v>10.48</v>
      </c>
    </row>
    <row r="261" spans="2:6" hidden="1">
      <c r="B261" s="266">
        <v>42339</v>
      </c>
      <c r="C261" s="256">
        <v>4493.17</v>
      </c>
      <c r="D261" s="256">
        <v>0.96</v>
      </c>
      <c r="E261" s="256">
        <v>10.67</v>
      </c>
      <c r="F261" s="256">
        <v>10.67</v>
      </c>
    </row>
    <row r="262" spans="2:6" hidden="1">
      <c r="B262" s="266">
        <v>42370</v>
      </c>
      <c r="C262" s="256">
        <v>4550.2299999999996</v>
      </c>
      <c r="D262" s="256">
        <v>1.27</v>
      </c>
      <c r="E262" s="256">
        <v>1.27</v>
      </c>
      <c r="F262" s="256">
        <v>10.71</v>
      </c>
    </row>
    <row r="263" spans="2:6" hidden="1">
      <c r="B263" s="266">
        <v>42401</v>
      </c>
      <c r="C263" s="256">
        <v>4591.18</v>
      </c>
      <c r="D263" s="256">
        <v>0.9</v>
      </c>
      <c r="E263" s="256">
        <v>2.1800000000000002</v>
      </c>
      <c r="F263" s="256">
        <v>10.36</v>
      </c>
    </row>
    <row r="264" spans="2:6" hidden="1">
      <c r="B264" s="266">
        <v>42430</v>
      </c>
      <c r="C264" s="256">
        <v>4610.92</v>
      </c>
      <c r="D264" s="256">
        <v>0.43</v>
      </c>
      <c r="E264" s="256">
        <v>2.62</v>
      </c>
      <c r="F264" s="256">
        <v>9.39</v>
      </c>
    </row>
    <row r="265" spans="2:6" hidden="1">
      <c r="B265" s="266">
        <v>42461</v>
      </c>
      <c r="C265" s="256">
        <v>4639.05</v>
      </c>
      <c r="D265" s="256">
        <v>0.61</v>
      </c>
      <c r="E265" s="256">
        <v>3.25</v>
      </c>
      <c r="F265" s="256">
        <v>9.2799999999999994</v>
      </c>
    </row>
    <row r="266" spans="2:6" hidden="1">
      <c r="B266" s="266">
        <v>42491</v>
      </c>
      <c r="C266" s="256">
        <v>4675.2299999999996</v>
      </c>
      <c r="D266" s="256">
        <v>0.78</v>
      </c>
      <c r="E266" s="256">
        <v>4.05</v>
      </c>
      <c r="F266" s="256">
        <v>9.32</v>
      </c>
    </row>
    <row r="267" spans="2:6" hidden="1">
      <c r="B267" s="266">
        <v>42522</v>
      </c>
      <c r="C267" s="256">
        <v>4691.59</v>
      </c>
      <c r="D267" s="256">
        <v>0.35</v>
      </c>
      <c r="E267" s="256">
        <v>4.42</v>
      </c>
      <c r="F267" s="256">
        <v>8.84</v>
      </c>
    </row>
    <row r="268" spans="2:6" hidden="1">
      <c r="B268" s="266">
        <v>42552</v>
      </c>
      <c r="C268" s="256">
        <v>4715.99</v>
      </c>
      <c r="D268" s="256">
        <v>0.52</v>
      </c>
      <c r="E268" s="256">
        <v>4.96</v>
      </c>
      <c r="F268" s="256">
        <v>8.74</v>
      </c>
    </row>
    <row r="269" spans="2:6" hidden="1">
      <c r="B269" s="266">
        <v>42583</v>
      </c>
      <c r="C269" s="256">
        <v>4736.74</v>
      </c>
      <c r="D269" s="256">
        <v>0.44</v>
      </c>
      <c r="E269" s="256">
        <v>5.42</v>
      </c>
      <c r="F269" s="256">
        <v>8.9700000000000006</v>
      </c>
    </row>
    <row r="270" spans="2:6" hidden="1">
      <c r="B270" s="266">
        <v>42614</v>
      </c>
      <c r="C270" s="256">
        <v>4740.53</v>
      </c>
      <c r="D270" s="256">
        <v>0.08</v>
      </c>
      <c r="E270" s="256">
        <v>5.51</v>
      </c>
      <c r="F270" s="256">
        <v>8.48</v>
      </c>
    </row>
    <row r="271" spans="2:6" hidden="1">
      <c r="B271" s="266">
        <v>42644</v>
      </c>
      <c r="C271" s="256">
        <v>4752.8599999999997</v>
      </c>
      <c r="D271" s="256">
        <v>0.26</v>
      </c>
      <c r="E271" s="256">
        <v>5.78</v>
      </c>
      <c r="F271" s="256">
        <v>7.87</v>
      </c>
    </row>
    <row r="272" spans="2:6" hidden="1">
      <c r="B272" s="266">
        <v>42675</v>
      </c>
      <c r="C272" s="256">
        <v>4761.42</v>
      </c>
      <c r="D272" s="256">
        <v>0.18</v>
      </c>
      <c r="E272" s="256">
        <v>5.97</v>
      </c>
      <c r="F272" s="256">
        <v>6.99</v>
      </c>
    </row>
    <row r="273" spans="2:6" hidden="1">
      <c r="B273" s="266">
        <v>42705</v>
      </c>
      <c r="C273" s="256">
        <v>4775.7</v>
      </c>
      <c r="D273" s="256">
        <v>0.3</v>
      </c>
      <c r="E273" s="256">
        <v>6.29</v>
      </c>
      <c r="F273" s="256">
        <v>6.29</v>
      </c>
    </row>
    <row r="274" spans="2:6" hidden="1">
      <c r="B274" s="266">
        <v>42736</v>
      </c>
      <c r="C274" s="256">
        <v>4793.8500000000004</v>
      </c>
      <c r="D274" s="256">
        <v>0.38</v>
      </c>
      <c r="E274" s="256">
        <v>0.38</v>
      </c>
      <c r="F274" s="256">
        <v>5.35</v>
      </c>
    </row>
    <row r="275" spans="2:6" hidden="1">
      <c r="B275" s="266">
        <v>42767</v>
      </c>
      <c r="C275" s="256">
        <v>4809.67</v>
      </c>
      <c r="D275" s="256">
        <v>0.33</v>
      </c>
      <c r="E275" s="256">
        <v>0.71</v>
      </c>
      <c r="F275" s="256">
        <v>4.76</v>
      </c>
    </row>
    <row r="276" spans="2:6" hidden="1">
      <c r="B276" s="266">
        <v>42795</v>
      </c>
      <c r="C276" s="256">
        <v>4821.6899999999996</v>
      </c>
      <c r="D276" s="256">
        <v>0.25</v>
      </c>
      <c r="E276" s="256">
        <v>0.96</v>
      </c>
      <c r="F276" s="256">
        <v>4.57</v>
      </c>
    </row>
    <row r="277" spans="2:6" hidden="1">
      <c r="B277" s="266">
        <v>42826</v>
      </c>
      <c r="C277" s="256">
        <v>4828.4399999999996</v>
      </c>
      <c r="D277" s="256">
        <v>0.14000000000000001</v>
      </c>
      <c r="E277" s="256">
        <v>1.1000000000000001</v>
      </c>
      <c r="F277" s="256">
        <v>4.08</v>
      </c>
    </row>
    <row r="278" spans="2:6" hidden="1">
      <c r="B278" s="266">
        <v>42856</v>
      </c>
      <c r="C278" s="256">
        <v>4843.41</v>
      </c>
      <c r="D278" s="256">
        <v>0.31</v>
      </c>
      <c r="E278" s="256">
        <v>1.42</v>
      </c>
      <c r="F278" s="256">
        <v>3.6</v>
      </c>
    </row>
    <row r="279" spans="2:6" hidden="1">
      <c r="B279" s="266">
        <v>42887</v>
      </c>
      <c r="C279" s="256">
        <v>4832.2700000000004</v>
      </c>
      <c r="D279" s="256">
        <v>-0.23</v>
      </c>
      <c r="E279" s="256">
        <v>1.18</v>
      </c>
      <c r="F279" s="256">
        <v>3</v>
      </c>
    </row>
    <row r="280" spans="2:6" hidden="1">
      <c r="B280" s="266">
        <v>42917</v>
      </c>
      <c r="C280" s="256">
        <v>4843.87</v>
      </c>
      <c r="D280" s="256">
        <v>0.24</v>
      </c>
      <c r="E280" s="256">
        <v>1.43</v>
      </c>
      <c r="F280" s="256">
        <v>2.71</v>
      </c>
    </row>
    <row r="281" spans="2:6" hidden="1">
      <c r="B281" s="266">
        <v>42948</v>
      </c>
      <c r="C281" s="256">
        <v>4853.07</v>
      </c>
      <c r="D281" s="256">
        <v>0.19</v>
      </c>
      <c r="E281" s="256">
        <v>1.62</v>
      </c>
      <c r="F281" s="256">
        <v>2.46</v>
      </c>
    </row>
    <row r="282" spans="2:6" hidden="1">
      <c r="B282" s="266">
        <v>42979</v>
      </c>
      <c r="C282" s="256">
        <v>4860.83</v>
      </c>
      <c r="D282" s="256">
        <v>0.16</v>
      </c>
      <c r="E282" s="256">
        <v>1.78</v>
      </c>
      <c r="F282" s="256">
        <v>2.54</v>
      </c>
    </row>
    <row r="283" spans="2:6" hidden="1">
      <c r="B283" s="266">
        <v>43009</v>
      </c>
      <c r="C283" s="256">
        <v>4881.25</v>
      </c>
      <c r="D283" s="256">
        <v>0.42</v>
      </c>
      <c r="E283" s="256">
        <v>2.21</v>
      </c>
      <c r="F283" s="256">
        <v>2.7</v>
      </c>
    </row>
    <row r="284" spans="2:6" hidden="1">
      <c r="B284" s="266">
        <v>43040</v>
      </c>
      <c r="C284" s="256">
        <v>4894.92</v>
      </c>
      <c r="D284" s="256">
        <v>0.28000000000000003</v>
      </c>
      <c r="E284" s="256">
        <v>2.5</v>
      </c>
      <c r="F284" s="256">
        <v>2.8</v>
      </c>
    </row>
    <row r="285" spans="2:6" hidden="1">
      <c r="B285" s="266">
        <v>43070</v>
      </c>
      <c r="C285" s="256">
        <v>4916.46</v>
      </c>
      <c r="D285" s="256">
        <v>0.44</v>
      </c>
      <c r="E285" s="256">
        <v>2.95</v>
      </c>
      <c r="F285" s="256">
        <v>2.95</v>
      </c>
    </row>
    <row r="286" spans="2:6" hidden="1">
      <c r="B286" s="266">
        <v>43101</v>
      </c>
      <c r="C286" s="256">
        <v>4930.72</v>
      </c>
      <c r="D286" s="256">
        <v>0.28999999999999998</v>
      </c>
      <c r="E286" s="256">
        <v>0.28999999999999998</v>
      </c>
      <c r="F286" s="256">
        <v>2.86</v>
      </c>
    </row>
    <row r="287" spans="2:6" hidden="1">
      <c r="B287" s="266">
        <v>43132</v>
      </c>
      <c r="C287" s="256">
        <v>4946.5</v>
      </c>
      <c r="D287" s="256">
        <v>0.32</v>
      </c>
      <c r="E287" s="256">
        <v>0.61</v>
      </c>
      <c r="F287" s="256">
        <v>2.84</v>
      </c>
    </row>
    <row r="288" spans="2:6" hidden="1">
      <c r="B288" s="266">
        <v>43160</v>
      </c>
      <c r="C288" s="256">
        <v>4950.95</v>
      </c>
      <c r="D288" s="256">
        <v>0.09</v>
      </c>
      <c r="E288" s="256">
        <v>0.7</v>
      </c>
      <c r="F288" s="256">
        <v>2.68</v>
      </c>
    </row>
    <row r="289" spans="2:6" hidden="1">
      <c r="B289" s="266">
        <v>43191</v>
      </c>
      <c r="C289" s="256">
        <v>4961.84</v>
      </c>
      <c r="D289" s="256">
        <v>0.22</v>
      </c>
      <c r="E289" s="256">
        <v>0.92</v>
      </c>
      <c r="F289" s="256">
        <v>2.76</v>
      </c>
    </row>
    <row r="290" spans="2:6" hidden="1">
      <c r="B290" s="266">
        <v>43221</v>
      </c>
      <c r="C290" s="256">
        <v>4981.6899999999996</v>
      </c>
      <c r="D290" s="256">
        <v>0.4</v>
      </c>
      <c r="E290" s="256">
        <v>1.33</v>
      </c>
      <c r="F290" s="256">
        <v>2.86</v>
      </c>
    </row>
    <row r="291" spans="2:6" hidden="1">
      <c r="B291" s="266">
        <v>43252</v>
      </c>
      <c r="C291" s="256">
        <v>5044.46</v>
      </c>
      <c r="D291" s="256">
        <v>1.26</v>
      </c>
      <c r="E291" s="256">
        <v>2.6</v>
      </c>
      <c r="F291" s="256">
        <v>4.3899999999999997</v>
      </c>
    </row>
    <row r="292" spans="2:6" hidden="1">
      <c r="B292" s="266">
        <v>43282</v>
      </c>
      <c r="C292" s="256">
        <v>5061.1099999999997</v>
      </c>
      <c r="D292" s="256">
        <v>0.33</v>
      </c>
      <c r="E292" s="256">
        <v>2.94</v>
      </c>
      <c r="F292" s="256">
        <v>4.4800000000000004</v>
      </c>
    </row>
    <row r="293" spans="2:6" hidden="1">
      <c r="B293" s="266">
        <v>43313</v>
      </c>
      <c r="C293" s="256">
        <v>5056.5600000000004</v>
      </c>
      <c r="D293" s="256">
        <v>-0.09</v>
      </c>
      <c r="E293" s="256">
        <v>2.85</v>
      </c>
      <c r="F293" s="256">
        <v>4.1900000000000004</v>
      </c>
    </row>
    <row r="294" spans="2:6" hidden="1">
      <c r="B294" s="266">
        <v>43344</v>
      </c>
      <c r="C294" s="256">
        <v>5080.83</v>
      </c>
      <c r="D294" s="256">
        <v>0.48</v>
      </c>
      <c r="E294" s="256">
        <v>3.34</v>
      </c>
      <c r="F294" s="256">
        <v>4.53</v>
      </c>
    </row>
    <row r="295" spans="2:6" hidden="1">
      <c r="B295" s="266">
        <v>43374</v>
      </c>
      <c r="C295" s="256">
        <v>5103.6899999999996</v>
      </c>
      <c r="D295" s="256">
        <v>0.45</v>
      </c>
      <c r="E295" s="256">
        <v>3.81</v>
      </c>
      <c r="F295" s="256">
        <v>4.5599999999999996</v>
      </c>
    </row>
    <row r="296" spans="2:6" hidden="1">
      <c r="B296" s="266">
        <v>43405</v>
      </c>
      <c r="C296" s="256">
        <v>5092.97</v>
      </c>
      <c r="D296" s="256">
        <v>-0.21</v>
      </c>
      <c r="E296" s="256">
        <v>3.59</v>
      </c>
      <c r="F296" s="256">
        <v>4.05</v>
      </c>
    </row>
    <row r="297" spans="2:6" hidden="1">
      <c r="B297" s="266">
        <v>43435</v>
      </c>
      <c r="C297" s="256">
        <v>5100.6099999999997</v>
      </c>
      <c r="D297" s="256">
        <v>0.15</v>
      </c>
      <c r="E297" s="256">
        <v>3.75</v>
      </c>
      <c r="F297" s="256">
        <v>3.75</v>
      </c>
    </row>
    <row r="298" spans="2:6" hidden="1">
      <c r="B298" s="266">
        <v>43466</v>
      </c>
      <c r="C298" s="256">
        <v>5116.93</v>
      </c>
      <c r="D298" s="256">
        <v>0.32</v>
      </c>
      <c r="E298" s="256">
        <v>0.32</v>
      </c>
      <c r="F298" s="256">
        <v>3.78</v>
      </c>
    </row>
    <row r="299" spans="2:6" hidden="1">
      <c r="B299" s="266">
        <v>43497</v>
      </c>
      <c r="C299" s="256">
        <v>5138.93</v>
      </c>
      <c r="D299" s="256">
        <v>0.43</v>
      </c>
      <c r="E299" s="256">
        <v>0.75</v>
      </c>
      <c r="F299" s="256">
        <v>3.89</v>
      </c>
    </row>
    <row r="300" spans="2:6" hidden="1">
      <c r="B300" s="266">
        <v>43525</v>
      </c>
      <c r="C300" s="256">
        <v>5177.47</v>
      </c>
      <c r="D300" s="256">
        <v>0.75</v>
      </c>
      <c r="E300" s="256">
        <v>1.51</v>
      </c>
      <c r="F300" s="256">
        <v>4.58</v>
      </c>
    </row>
    <row r="301" spans="2:6" hidden="1">
      <c r="B301" s="266">
        <v>43556</v>
      </c>
      <c r="C301" s="256">
        <v>5206.9799999999996</v>
      </c>
      <c r="D301" s="256">
        <v>0.56999999999999995</v>
      </c>
      <c r="E301" s="256">
        <v>2.09</v>
      </c>
      <c r="F301" s="256">
        <v>4.9400000000000004</v>
      </c>
    </row>
    <row r="302" spans="2:6" hidden="1">
      <c r="B302" s="266">
        <v>43586</v>
      </c>
      <c r="C302" s="256">
        <v>5213.75</v>
      </c>
      <c r="D302" s="256">
        <v>0.13</v>
      </c>
      <c r="E302" s="256">
        <v>2.2200000000000002</v>
      </c>
      <c r="F302" s="256">
        <v>4.66</v>
      </c>
    </row>
    <row r="303" spans="2:6" hidden="1">
      <c r="B303" s="266">
        <v>43617</v>
      </c>
      <c r="C303" s="256">
        <v>5214.2700000000004</v>
      </c>
      <c r="D303" s="256">
        <v>0.01</v>
      </c>
      <c r="E303" s="256">
        <v>2.23</v>
      </c>
      <c r="F303" s="256">
        <v>3.37</v>
      </c>
    </row>
    <row r="304" spans="2:6" hidden="1">
      <c r="B304" s="266">
        <v>43647</v>
      </c>
      <c r="C304" s="256">
        <v>5224.18</v>
      </c>
      <c r="D304" s="256">
        <v>0.19</v>
      </c>
      <c r="E304" s="256">
        <v>2.42</v>
      </c>
      <c r="F304" s="256">
        <v>3.22</v>
      </c>
    </row>
    <row r="305" spans="2:6" hidden="1">
      <c r="B305" s="266">
        <v>43678</v>
      </c>
      <c r="C305" s="256">
        <v>5229.93</v>
      </c>
      <c r="D305" s="256">
        <v>0.11</v>
      </c>
      <c r="E305" s="256">
        <v>2.54</v>
      </c>
      <c r="F305" s="256">
        <v>3.43</v>
      </c>
    </row>
    <row r="306" spans="2:6" hidden="1">
      <c r="B306" s="266">
        <v>43709</v>
      </c>
      <c r="C306" s="256">
        <v>5227.84</v>
      </c>
      <c r="D306" s="256">
        <v>-0.04</v>
      </c>
      <c r="E306" s="256">
        <v>2.4900000000000002</v>
      </c>
      <c r="F306" s="256">
        <v>2.89</v>
      </c>
    </row>
    <row r="307" spans="2:6" hidden="1">
      <c r="B307" s="266">
        <v>43739</v>
      </c>
      <c r="C307" s="256">
        <v>5233.07</v>
      </c>
      <c r="D307" s="256">
        <v>0.1</v>
      </c>
      <c r="E307" s="256">
        <v>2.6</v>
      </c>
      <c r="F307" s="256">
        <v>2.54</v>
      </c>
    </row>
    <row r="308" spans="2:6" hidden="1">
      <c r="B308" s="266">
        <v>43770</v>
      </c>
      <c r="C308" s="256">
        <v>5259.76</v>
      </c>
      <c r="D308" s="256">
        <v>0.51</v>
      </c>
      <c r="E308" s="256">
        <v>3.12</v>
      </c>
      <c r="F308" s="256">
        <v>3.27</v>
      </c>
    </row>
    <row r="309" spans="2:6" hidden="1">
      <c r="B309" s="266">
        <v>43800</v>
      </c>
      <c r="C309" s="256">
        <v>5320.25</v>
      </c>
      <c r="D309" s="256">
        <v>1.1499999999999999</v>
      </c>
      <c r="E309" s="256">
        <v>4.3099999999999996</v>
      </c>
      <c r="F309" s="256">
        <v>4.3099999999999996</v>
      </c>
    </row>
    <row r="310" spans="2:6" hidden="1">
      <c r="B310" s="266">
        <v>43831</v>
      </c>
      <c r="C310" s="256">
        <v>5331.42</v>
      </c>
      <c r="D310" s="256">
        <v>0.21</v>
      </c>
      <c r="E310" s="256">
        <v>0.21</v>
      </c>
      <c r="F310" s="256">
        <v>4.1900000000000004</v>
      </c>
    </row>
    <row r="311" spans="2:6" hidden="1">
      <c r="B311" s="266">
        <v>43862</v>
      </c>
      <c r="C311" s="256">
        <v>5344.75</v>
      </c>
      <c r="D311" s="256">
        <v>0.25</v>
      </c>
      <c r="E311" s="256">
        <v>0.46</v>
      </c>
      <c r="F311" s="256">
        <v>4.01</v>
      </c>
    </row>
    <row r="312" spans="2:6" hidden="1">
      <c r="B312" s="266">
        <v>43891</v>
      </c>
      <c r="C312" s="256">
        <v>5348.49</v>
      </c>
      <c r="D312" s="256">
        <v>7.0000000000000007E-2</v>
      </c>
      <c r="E312" s="256">
        <v>0.53</v>
      </c>
      <c r="F312" s="256">
        <v>3.3</v>
      </c>
    </row>
    <row r="313" spans="2:6" hidden="1">
      <c r="B313" s="266">
        <v>43922</v>
      </c>
      <c r="C313" s="256">
        <v>5331.91</v>
      </c>
      <c r="D313" s="256">
        <v>-0.31</v>
      </c>
      <c r="E313" s="256">
        <v>0.22</v>
      </c>
      <c r="F313" s="256">
        <v>2.4</v>
      </c>
    </row>
    <row r="314" spans="2:6" hidden="1">
      <c r="B314" s="266">
        <v>43952</v>
      </c>
      <c r="C314" s="256">
        <v>5311.65</v>
      </c>
      <c r="D314" s="256">
        <v>-0.38</v>
      </c>
      <c r="E314" s="256">
        <v>-0.16</v>
      </c>
      <c r="F314" s="256">
        <v>1.88</v>
      </c>
    </row>
    <row r="315" spans="2:6" hidden="1">
      <c r="B315" s="266">
        <v>43983</v>
      </c>
      <c r="C315" s="256">
        <v>5325.46</v>
      </c>
      <c r="D315" s="256">
        <v>0.26</v>
      </c>
      <c r="E315" s="256">
        <v>0.1</v>
      </c>
      <c r="F315" s="256">
        <v>2.13</v>
      </c>
    </row>
    <row r="316" spans="2:6" hidden="1">
      <c r="B316" s="266">
        <v>44013</v>
      </c>
      <c r="C316" s="256">
        <v>5344.63</v>
      </c>
      <c r="D316" s="256">
        <v>0.36</v>
      </c>
      <c r="E316" s="256">
        <v>0.46</v>
      </c>
      <c r="F316" s="256">
        <v>2.31</v>
      </c>
    </row>
    <row r="317" spans="2:6" hidden="1">
      <c r="B317" s="266">
        <v>44044</v>
      </c>
      <c r="C317" s="256">
        <v>5357.46</v>
      </c>
      <c r="D317" s="256">
        <v>0.24</v>
      </c>
      <c r="E317" s="256">
        <v>0.7</v>
      </c>
      <c r="F317" s="256">
        <v>2.44</v>
      </c>
    </row>
    <row r="318" spans="2:6" hidden="1">
      <c r="B318" s="266">
        <v>44075</v>
      </c>
      <c r="C318" s="256">
        <v>5391.75</v>
      </c>
      <c r="D318" s="256">
        <v>0.64</v>
      </c>
      <c r="E318" s="256">
        <v>1.34</v>
      </c>
      <c r="F318" s="256">
        <v>3.14</v>
      </c>
    </row>
    <row r="319" spans="2:6" hidden="1">
      <c r="B319" s="266">
        <v>44105</v>
      </c>
      <c r="C319" s="256">
        <v>5438.12</v>
      </c>
      <c r="D319" s="256">
        <v>0.86</v>
      </c>
      <c r="E319" s="256">
        <v>2.2200000000000002</v>
      </c>
      <c r="F319" s="256">
        <v>3.92</v>
      </c>
    </row>
    <row r="320" spans="2:6" hidden="1">
      <c r="B320" s="266">
        <v>44136</v>
      </c>
      <c r="C320" s="256">
        <v>5486.52</v>
      </c>
      <c r="D320" s="256">
        <v>0.89</v>
      </c>
      <c r="E320" s="256">
        <v>3.13</v>
      </c>
      <c r="F320" s="256">
        <v>4.3099999999999996</v>
      </c>
    </row>
    <row r="321" spans="2:7" hidden="1">
      <c r="B321" s="266">
        <v>44166</v>
      </c>
      <c r="C321" s="256">
        <v>5560.59</v>
      </c>
      <c r="D321" s="256">
        <v>1.35</v>
      </c>
      <c r="E321" s="256">
        <v>4.5199999999999996</v>
      </c>
      <c r="F321" s="256">
        <v>4.5199999999999996</v>
      </c>
    </row>
    <row r="322" spans="2:7" hidden="1">
      <c r="B322" s="266">
        <v>44197</v>
      </c>
      <c r="C322" s="256">
        <v>5574.49</v>
      </c>
      <c r="D322" s="256">
        <v>0.25</v>
      </c>
      <c r="E322" s="256">
        <v>0.25</v>
      </c>
      <c r="F322" s="256">
        <v>4.5599999999999996</v>
      </c>
    </row>
    <row r="323" spans="2:7" hidden="1">
      <c r="B323" s="266">
        <v>44228</v>
      </c>
      <c r="C323" s="256">
        <v>5622.43</v>
      </c>
      <c r="D323" s="256">
        <v>0.86</v>
      </c>
      <c r="E323" s="256">
        <v>1.1100000000000001</v>
      </c>
      <c r="F323" s="256">
        <v>5.2</v>
      </c>
    </row>
    <row r="324" spans="2:7" hidden="1">
      <c r="B324" s="266">
        <v>44256</v>
      </c>
      <c r="C324" s="256">
        <v>5674.72</v>
      </c>
      <c r="D324" s="256">
        <v>0.93</v>
      </c>
      <c r="E324" s="256">
        <v>2.0499999999999998</v>
      </c>
      <c r="F324" s="256">
        <v>6.1</v>
      </c>
      <c r="G324" s="40"/>
    </row>
    <row r="325" spans="2:7" hidden="1">
      <c r="B325" s="266">
        <v>44287</v>
      </c>
      <c r="C325" s="256">
        <v>5692.31</v>
      </c>
      <c r="D325" s="256">
        <v>0.31</v>
      </c>
      <c r="E325" s="256">
        <v>2.37</v>
      </c>
      <c r="F325" s="256">
        <v>6.76</v>
      </c>
    </row>
    <row r="326" spans="2:7" hidden="1">
      <c r="B326" s="266">
        <v>44317</v>
      </c>
      <c r="C326" s="256">
        <v>5739.56</v>
      </c>
      <c r="D326" s="256">
        <v>0.83</v>
      </c>
      <c r="E326" s="256">
        <v>3.22</v>
      </c>
      <c r="F326" s="256">
        <v>8.06</v>
      </c>
    </row>
    <row r="327" spans="2:7" hidden="1">
      <c r="B327" s="266">
        <v>44348</v>
      </c>
      <c r="C327" s="256">
        <v>5769.98</v>
      </c>
      <c r="D327" s="256">
        <v>0.53</v>
      </c>
      <c r="E327" s="256">
        <v>3.77</v>
      </c>
      <c r="F327" s="256">
        <v>8.35</v>
      </c>
    </row>
    <row r="328" spans="2:7" hidden="1">
      <c r="B328" s="266">
        <v>44378</v>
      </c>
      <c r="C328" s="256">
        <v>5825.37</v>
      </c>
      <c r="D328" s="256">
        <v>0.53</v>
      </c>
      <c r="E328" s="256">
        <v>3.77</v>
      </c>
      <c r="F328" s="256">
        <v>8.35</v>
      </c>
      <c r="G328" s="40"/>
    </row>
    <row r="329" spans="2:7" hidden="1">
      <c r="B329" s="266">
        <v>44409</v>
      </c>
      <c r="C329" s="256">
        <v>5876.05</v>
      </c>
      <c r="D329" s="256">
        <v>0.87</v>
      </c>
      <c r="E329" s="256">
        <v>5.67</v>
      </c>
      <c r="F329" s="256">
        <v>9.68</v>
      </c>
      <c r="G329" s="40"/>
    </row>
    <row r="330" spans="2:7" hidden="1">
      <c r="B330" s="266">
        <v>44440</v>
      </c>
      <c r="C330" s="256">
        <v>5944.21</v>
      </c>
      <c r="D330" s="256">
        <v>1.1599999999999999</v>
      </c>
      <c r="E330" s="256">
        <v>6.9</v>
      </c>
      <c r="F330" s="256">
        <v>10.25</v>
      </c>
      <c r="G330" s="40"/>
    </row>
    <row r="331" spans="2:7" hidden="1">
      <c r="B331" s="266">
        <v>44470</v>
      </c>
      <c r="C331" s="256">
        <v>6018.51</v>
      </c>
      <c r="D331" s="256">
        <v>1.25</v>
      </c>
      <c r="E331" s="256">
        <v>8.24</v>
      </c>
      <c r="F331" s="256">
        <v>10.67</v>
      </c>
      <c r="G331" s="40"/>
    </row>
    <row r="332" spans="2:7" hidden="1">
      <c r="B332" s="266">
        <v>44501</v>
      </c>
      <c r="C332" s="256">
        <v>6075.69</v>
      </c>
      <c r="D332" s="256">
        <v>0.95</v>
      </c>
      <c r="E332" s="256">
        <v>9.26</v>
      </c>
      <c r="F332" s="256">
        <v>10.74</v>
      </c>
      <c r="G332" s="40"/>
    </row>
    <row r="333" spans="2:7" hidden="1">
      <c r="B333" s="266">
        <v>44531</v>
      </c>
      <c r="C333" s="256">
        <v>6120.04</v>
      </c>
      <c r="D333" s="256">
        <v>0.73</v>
      </c>
      <c r="E333" s="256">
        <v>10.06</v>
      </c>
      <c r="F333" s="256">
        <v>10.06</v>
      </c>
      <c r="G333" s="40"/>
    </row>
    <row r="334" spans="2:7">
      <c r="B334" s="266">
        <v>44562</v>
      </c>
      <c r="C334" s="256">
        <v>6153.09</v>
      </c>
      <c r="D334" s="256">
        <v>0.54</v>
      </c>
      <c r="E334" s="256">
        <v>0.54</v>
      </c>
      <c r="F334" s="256">
        <v>10.38</v>
      </c>
      <c r="G334" s="40"/>
    </row>
    <row r="335" spans="2:7">
      <c r="B335" s="266">
        <v>44593</v>
      </c>
      <c r="C335" s="256">
        <v>6215.24</v>
      </c>
      <c r="D335" s="256">
        <v>1.01</v>
      </c>
      <c r="E335" s="256">
        <v>1.56</v>
      </c>
      <c r="F335" s="256">
        <v>10.54</v>
      </c>
      <c r="G335" s="40"/>
    </row>
    <row r="336" spans="2:7">
      <c r="B336" s="266">
        <v>44621</v>
      </c>
      <c r="C336" s="256">
        <v>6315.93</v>
      </c>
      <c r="D336" s="256">
        <v>1.62</v>
      </c>
      <c r="E336" s="256">
        <v>3.2</v>
      </c>
      <c r="F336" s="256">
        <v>11.3</v>
      </c>
      <c r="G336" s="40"/>
    </row>
    <row r="337" spans="2:7">
      <c r="B337" s="266">
        <v>44652</v>
      </c>
      <c r="C337" s="256">
        <v>6382.88</v>
      </c>
      <c r="D337" s="256">
        <v>1.06</v>
      </c>
      <c r="E337" s="256">
        <v>4.29</v>
      </c>
      <c r="F337" s="256">
        <v>12.13</v>
      </c>
      <c r="G337" s="40"/>
    </row>
    <row r="338" spans="2:7">
      <c r="B338" s="266">
        <v>44682</v>
      </c>
      <c r="C338" s="256">
        <v>6412.88</v>
      </c>
      <c r="D338" s="256">
        <v>0.47</v>
      </c>
      <c r="E338" s="256">
        <v>4.78</v>
      </c>
      <c r="F338" s="256">
        <v>11.73</v>
      </c>
      <c r="G338" s="40"/>
    </row>
    <row r="339" spans="2:7">
      <c r="B339" s="266">
        <v>44713</v>
      </c>
      <c r="C339" s="256">
        <v>6455.85</v>
      </c>
      <c r="D339" s="256">
        <v>0.67</v>
      </c>
      <c r="E339" s="256">
        <v>5.49</v>
      </c>
      <c r="F339" s="256">
        <v>11.89</v>
      </c>
      <c r="G339" s="40"/>
    </row>
    <row r="340" spans="2:7">
      <c r="B340" s="266">
        <v>44743</v>
      </c>
      <c r="C340" s="256">
        <v>6411.95</v>
      </c>
      <c r="D340" s="256">
        <v>-0.68</v>
      </c>
      <c r="E340" s="256">
        <v>4.7699999999999996</v>
      </c>
      <c r="F340" s="256">
        <v>10.07</v>
      </c>
      <c r="G340" s="40"/>
    </row>
    <row r="341" spans="2:7">
      <c r="B341" s="266">
        <v>44774</v>
      </c>
      <c r="C341" s="256">
        <v>6388.87</v>
      </c>
      <c r="D341" s="256">
        <v>-0.36</v>
      </c>
      <c r="E341" s="256">
        <v>4.3899999999999997</v>
      </c>
      <c r="F341" s="256">
        <v>8.73</v>
      </c>
      <c r="G341" s="40"/>
    </row>
    <row r="342" spans="2:7">
      <c r="B342" s="266">
        <v>44805</v>
      </c>
      <c r="C342" s="256">
        <v>6370.34</v>
      </c>
      <c r="D342" s="256">
        <v>-0.28999999999999998</v>
      </c>
      <c r="E342" s="256">
        <v>4.09</v>
      </c>
      <c r="F342" s="256">
        <v>7.17</v>
      </c>
      <c r="G342" s="40"/>
    </row>
    <row r="343" spans="2:7">
      <c r="B343" s="266">
        <v>44835</v>
      </c>
      <c r="C343" s="256">
        <v>6407.93</v>
      </c>
      <c r="D343" s="256">
        <v>0.59</v>
      </c>
      <c r="E343" s="256">
        <v>4.7</v>
      </c>
      <c r="F343" s="256">
        <v>6.47</v>
      </c>
      <c r="G343" s="40"/>
    </row>
    <row r="344" spans="2:7">
      <c r="B344" s="266">
        <v>44866</v>
      </c>
      <c r="C344" s="256">
        <v>6434.2</v>
      </c>
      <c r="D344" s="256">
        <v>0.41</v>
      </c>
      <c r="E344" s="256">
        <v>5.13</v>
      </c>
      <c r="F344" s="256">
        <v>5.9</v>
      </c>
      <c r="G344" s="40"/>
    </row>
    <row r="345" spans="2:7">
      <c r="B345" s="266">
        <v>44896</v>
      </c>
      <c r="C345" s="256">
        <v>6474.09</v>
      </c>
      <c r="D345" s="256">
        <v>0.62</v>
      </c>
      <c r="E345" s="256">
        <v>5.79</v>
      </c>
      <c r="F345" s="256">
        <v>5.79</v>
      </c>
      <c r="G345" s="40"/>
    </row>
    <row r="346" spans="2:7">
      <c r="B346" s="266">
        <v>44927</v>
      </c>
      <c r="C346" s="256">
        <v>6508.4</v>
      </c>
      <c r="D346" s="256">
        <v>0.53</v>
      </c>
      <c r="E346" s="256">
        <v>0.53</v>
      </c>
      <c r="F346" s="256">
        <v>5.77</v>
      </c>
      <c r="G346" s="40"/>
    </row>
    <row r="347" spans="2:7">
      <c r="B347" s="266">
        <v>44958</v>
      </c>
      <c r="C347" s="256">
        <v>6563.07</v>
      </c>
      <c r="D347" s="256">
        <v>0.84</v>
      </c>
      <c r="E347" s="256">
        <v>1.37</v>
      </c>
      <c r="F347" s="256">
        <v>5.6</v>
      </c>
      <c r="G347" s="40"/>
    </row>
    <row r="348" spans="2:7">
      <c r="B348" s="266">
        <v>44986</v>
      </c>
      <c r="C348" s="256">
        <v>6609.67</v>
      </c>
      <c r="D348" s="256">
        <v>0.71</v>
      </c>
      <c r="E348" s="256">
        <v>2.09</v>
      </c>
      <c r="F348" s="256">
        <v>4.6500000000000004</v>
      </c>
      <c r="G348" s="40"/>
    </row>
    <row r="349" spans="2:7">
      <c r="B349" s="266">
        <v>45017</v>
      </c>
      <c r="C349" s="256">
        <v>6649.99</v>
      </c>
      <c r="D349" s="256">
        <v>0.61</v>
      </c>
      <c r="E349" s="256">
        <v>2.72</v>
      </c>
      <c r="F349" s="256">
        <v>4.18</v>
      </c>
      <c r="G349" s="40"/>
    </row>
    <row r="350" spans="2:7">
      <c r="B350" s="266">
        <v>45047</v>
      </c>
      <c r="C350" s="256">
        <v>6665.28</v>
      </c>
      <c r="D350" s="256">
        <v>0.23</v>
      </c>
      <c r="E350" s="256">
        <v>2.95</v>
      </c>
      <c r="F350" s="256">
        <v>3.94</v>
      </c>
      <c r="G350" s="40"/>
    </row>
    <row r="351" spans="2:7">
      <c r="B351" s="266">
        <v>45078</v>
      </c>
      <c r="C351" s="256">
        <v>6659.95</v>
      </c>
      <c r="D351" s="256">
        <v>-0.08</v>
      </c>
      <c r="E351" s="256">
        <v>2.87</v>
      </c>
      <c r="F351" s="256">
        <v>3.16</v>
      </c>
      <c r="G351" s="40"/>
    </row>
    <row r="352" spans="2:7">
      <c r="B352" s="266">
        <v>45108</v>
      </c>
      <c r="C352" s="256">
        <v>6667.94</v>
      </c>
      <c r="D352" s="256">
        <v>0.12</v>
      </c>
      <c r="E352" s="256">
        <v>2.99</v>
      </c>
      <c r="F352" s="256">
        <v>3.99</v>
      </c>
      <c r="G352" s="40"/>
    </row>
    <row r="353" spans="2:7">
      <c r="B353" s="266">
        <v>45139</v>
      </c>
      <c r="C353" s="256">
        <v>6683.28</v>
      </c>
      <c r="D353" s="256">
        <v>0.23</v>
      </c>
      <c r="E353" s="256">
        <v>3.23</v>
      </c>
      <c r="F353" s="256">
        <v>4.6100000000000003</v>
      </c>
      <c r="G353" s="40"/>
    </row>
    <row r="354" spans="2:7">
      <c r="B354" s="266">
        <v>45170</v>
      </c>
      <c r="C354" s="256">
        <v>6700.66</v>
      </c>
      <c r="D354" s="256">
        <v>0.26</v>
      </c>
      <c r="E354" s="256">
        <v>3.5</v>
      </c>
      <c r="F354" s="256">
        <v>5.19</v>
      </c>
      <c r="G354" s="40"/>
    </row>
    <row r="355" spans="2:7">
      <c r="B355" s="266">
        <v>45200</v>
      </c>
      <c r="C355" s="256">
        <v>6716.74</v>
      </c>
      <c r="D355" s="256">
        <v>0.24</v>
      </c>
      <c r="E355" s="256">
        <v>3.75</v>
      </c>
      <c r="F355" s="256">
        <v>4.82</v>
      </c>
      <c r="G355" s="40"/>
    </row>
    <row r="356" spans="2:7">
      <c r="B356" s="266">
        <v>45231</v>
      </c>
      <c r="C356" s="256">
        <v>6735.55</v>
      </c>
      <c r="D356" s="256">
        <v>0.28000000000000003</v>
      </c>
      <c r="E356" s="256">
        <v>4.04</v>
      </c>
      <c r="F356" s="256">
        <v>4.68</v>
      </c>
      <c r="G356" s="40"/>
    </row>
    <row r="357" spans="2:7">
      <c r="B357" s="266">
        <v>45261</v>
      </c>
      <c r="C357" s="256">
        <v>6773.27</v>
      </c>
      <c r="D357" s="256">
        <v>0.56000000000000005</v>
      </c>
      <c r="E357" s="256">
        <v>4.62</v>
      </c>
      <c r="F357" s="256">
        <v>4.62</v>
      </c>
      <c r="G357" s="40"/>
    </row>
    <row r="358" spans="2:7">
      <c r="B358" s="266">
        <v>45292</v>
      </c>
      <c r="C358" s="256">
        <v>6801.72</v>
      </c>
      <c r="D358" s="256">
        <v>0.42</v>
      </c>
      <c r="E358" s="256">
        <v>0.42</v>
      </c>
      <c r="F358" s="256">
        <v>4.51</v>
      </c>
      <c r="G358" s="40"/>
    </row>
    <row r="359" spans="2:7">
      <c r="B359" s="266">
        <v>45323</v>
      </c>
      <c r="C359" s="256">
        <v>6858.17</v>
      </c>
      <c r="D359" s="256">
        <v>0.83</v>
      </c>
      <c r="E359" s="256">
        <v>1.25</v>
      </c>
      <c r="F359" s="256">
        <v>4.5</v>
      </c>
      <c r="G359" s="40"/>
    </row>
    <row r="360" spans="2:7">
      <c r="B360" s="266">
        <v>45352</v>
      </c>
      <c r="C360" s="256">
        <v>6869.14</v>
      </c>
      <c r="D360" s="256">
        <v>0.16</v>
      </c>
      <c r="E360" s="256">
        <v>1.42</v>
      </c>
      <c r="F360" s="256">
        <v>3.93</v>
      </c>
      <c r="G360" s="40"/>
    </row>
    <row r="361" spans="2:7">
      <c r="B361" s="266">
        <v>45383</v>
      </c>
      <c r="C361" s="256">
        <v>6895.24</v>
      </c>
      <c r="D361" s="256">
        <v>0.38</v>
      </c>
      <c r="E361" s="256">
        <v>1.8</v>
      </c>
      <c r="F361" s="256">
        <v>3.69</v>
      </c>
      <c r="G361" s="40"/>
    </row>
    <row r="362" spans="2:7">
      <c r="B362" s="266">
        <v>45413</v>
      </c>
      <c r="C362" s="256">
        <v>6926.96</v>
      </c>
      <c r="D362" s="256">
        <v>0.46</v>
      </c>
      <c r="E362" s="256">
        <v>2.27</v>
      </c>
      <c r="F362" s="256">
        <v>3.93</v>
      </c>
      <c r="G362" s="40"/>
    </row>
    <row r="363" spans="2:7">
      <c r="B363" s="266">
        <v>45444</v>
      </c>
      <c r="C363" s="256">
        <v>6941.51</v>
      </c>
      <c r="D363" s="256">
        <v>0.21</v>
      </c>
      <c r="E363" s="256">
        <v>2.48</v>
      </c>
      <c r="F363" s="256">
        <v>4.2300000000000004</v>
      </c>
      <c r="G363" s="40"/>
    </row>
    <row r="364" spans="2:7">
      <c r="B364" s="266">
        <v>45474</v>
      </c>
      <c r="C364" s="256">
        <v>6967.89</v>
      </c>
      <c r="D364" s="256">
        <v>0.38</v>
      </c>
      <c r="E364" s="256">
        <v>2.87</v>
      </c>
      <c r="F364" s="256">
        <v>4.5</v>
      </c>
      <c r="G364" s="40"/>
    </row>
    <row r="365" spans="2:7">
      <c r="B365" s="266">
        <v>45505</v>
      </c>
      <c r="C365" s="256">
        <v>6966.5</v>
      </c>
      <c r="D365" s="256">
        <v>-0.02</v>
      </c>
      <c r="E365" s="256">
        <v>2.85</v>
      </c>
      <c r="F365" s="256">
        <v>4.24</v>
      </c>
      <c r="G365" s="40"/>
    </row>
    <row r="366" spans="2:7">
      <c r="B366" s="266">
        <v>45536</v>
      </c>
      <c r="C366" s="256">
        <v>6997.15</v>
      </c>
      <c r="D366" s="256">
        <v>0.44</v>
      </c>
      <c r="E366" s="256">
        <v>3.31</v>
      </c>
      <c r="F366" s="256">
        <v>4.42</v>
      </c>
      <c r="G366" s="40"/>
    </row>
    <row r="367" spans="2:7">
      <c r="B367" s="266">
        <v>45566</v>
      </c>
      <c r="C367" s="256">
        <v>7036.33</v>
      </c>
      <c r="D367" s="256">
        <v>0.56000000000000005</v>
      </c>
      <c r="E367" s="256">
        <v>3.88</v>
      </c>
      <c r="F367" s="256">
        <v>4.76</v>
      </c>
      <c r="G367" s="40"/>
    </row>
    <row r="368" spans="2:7">
      <c r="B368" s="266">
        <v>45597</v>
      </c>
      <c r="C368" s="256">
        <v>7063.77</v>
      </c>
      <c r="D368" s="256">
        <v>0.39</v>
      </c>
      <c r="E368" s="256">
        <v>4.29</v>
      </c>
      <c r="F368" s="256">
        <v>4.87</v>
      </c>
      <c r="G368" s="40"/>
    </row>
    <row r="369" spans="2:8">
      <c r="B369" s="266">
        <v>45627</v>
      </c>
      <c r="C369" s="256">
        <v>7100.5</v>
      </c>
      <c r="D369" s="256">
        <v>0.52</v>
      </c>
      <c r="E369" s="256">
        <v>4.83</v>
      </c>
      <c r="F369" s="256">
        <v>4.83</v>
      </c>
      <c r="G369" s="40"/>
    </row>
    <row r="370" spans="2:8">
      <c r="B370" s="266">
        <v>45658</v>
      </c>
      <c r="C370" s="256">
        <v>7111.86</v>
      </c>
      <c r="D370" s="256">
        <v>0.16</v>
      </c>
      <c r="E370" s="256">
        <v>0.16</v>
      </c>
      <c r="F370" s="256">
        <v>4.5599999999999996</v>
      </c>
      <c r="G370" s="40"/>
    </row>
    <row r="371" spans="2:8">
      <c r="B371" s="266">
        <v>45689</v>
      </c>
      <c r="C371" s="256">
        <v>7205.03</v>
      </c>
      <c r="D371" s="256">
        <v>1.31</v>
      </c>
      <c r="E371" s="256">
        <v>1.47</v>
      </c>
      <c r="F371" s="256">
        <v>5.0599999999999996</v>
      </c>
      <c r="G371" s="40"/>
    </row>
    <row r="372" spans="2:8">
      <c r="B372" s="266">
        <v>45717</v>
      </c>
      <c r="C372" s="256">
        <v>7245.38</v>
      </c>
      <c r="D372" s="256">
        <v>0.56000000000000005</v>
      </c>
      <c r="E372" s="256">
        <v>2.04</v>
      </c>
      <c r="F372" s="256">
        <v>5.48</v>
      </c>
      <c r="G372" s="40"/>
    </row>
    <row r="373" spans="2:8">
      <c r="B373" s="266">
        <v>45748</v>
      </c>
      <c r="C373" s="256">
        <v>7276.54</v>
      </c>
      <c r="D373" s="256">
        <v>0.43</v>
      </c>
      <c r="E373" s="256">
        <v>2.48</v>
      </c>
      <c r="F373" s="256">
        <v>5.53</v>
      </c>
      <c r="G373" s="40"/>
    </row>
    <row r="374" spans="2:8">
      <c r="B374" s="266">
        <v>45778</v>
      </c>
      <c r="C374" s="256">
        <v>7295.46</v>
      </c>
      <c r="D374" s="256">
        <v>0.26</v>
      </c>
      <c r="E374" s="256">
        <v>2.75</v>
      </c>
      <c r="F374" s="256">
        <v>5.32</v>
      </c>
      <c r="G374" s="40"/>
    </row>
    <row r="375" spans="2:8">
      <c r="B375" s="266">
        <v>45809</v>
      </c>
      <c r="C375" s="256">
        <v>7312.97</v>
      </c>
      <c r="D375" s="256">
        <v>0.24</v>
      </c>
      <c r="E375" s="256">
        <v>2.99</v>
      </c>
      <c r="F375" s="256">
        <v>5.35</v>
      </c>
      <c r="G375" s="40"/>
    </row>
    <row r="376" spans="2:8">
      <c r="B376" s="266">
        <v>45839</v>
      </c>
      <c r="C376" s="256">
        <v>7331.98</v>
      </c>
      <c r="D376" s="256">
        <v>0.26</v>
      </c>
      <c r="E376" s="256">
        <v>3.26</v>
      </c>
      <c r="F376" s="256">
        <v>5.23</v>
      </c>
      <c r="G376" s="208"/>
    </row>
    <row r="377" spans="2:8">
      <c r="B377" s="266">
        <v>45870</v>
      </c>
      <c r="C377" s="256">
        <v>7323.91</v>
      </c>
      <c r="D377" s="256">
        <v>-0.11</v>
      </c>
      <c r="E377" s="256">
        <v>3.15</v>
      </c>
      <c r="F377" s="256">
        <v>5.13</v>
      </c>
      <c r="G377" s="208"/>
    </row>
    <row r="378" spans="2:8">
      <c r="B378" s="266">
        <v>45901</v>
      </c>
      <c r="C378" s="256">
        <v>7359.06</v>
      </c>
      <c r="D378" s="256">
        <v>0.48</v>
      </c>
      <c r="E378" s="256">
        <v>3.64</v>
      </c>
      <c r="F378" s="256">
        <v>5.17</v>
      </c>
      <c r="G378" s="40"/>
    </row>
    <row r="379" spans="2:8">
      <c r="B379" s="266">
        <v>45931</v>
      </c>
      <c r="C379" s="256"/>
      <c r="D379" s="256"/>
      <c r="E379" s="256"/>
      <c r="F379" s="256"/>
    </row>
    <row r="380" spans="2:8">
      <c r="B380" s="266">
        <v>45962</v>
      </c>
      <c r="C380" s="256"/>
      <c r="D380" s="256"/>
      <c r="E380" s="256"/>
      <c r="F380" s="256"/>
      <c r="G380" s="40"/>
    </row>
    <row r="381" spans="2:8">
      <c r="B381" s="267">
        <v>45992</v>
      </c>
      <c r="C381" s="268">
        <f>C369*(1+$H$381)</f>
        <v>7448.4244999999992</v>
      </c>
      <c r="D381" s="268"/>
      <c r="E381" s="268"/>
      <c r="F381" s="268"/>
      <c r="G381" s="2" t="s">
        <v>634</v>
      </c>
      <c r="H381" s="269">
        <f>4.9%</f>
        <v>4.9000000000000002E-2</v>
      </c>
    </row>
    <row r="382" spans="2:8">
      <c r="B382" s="2" t="s">
        <v>544</v>
      </c>
      <c r="C382" s="27"/>
    </row>
  </sheetData>
  <sheetProtection algorithmName="SHA-512" hashValue="dB3q4wq7ru9DU/wy006MaeIjGqJHb8q2Mwim7xVGUBJ705sZq5pq51tMdBSIsygJNVF/gJexipQc5jXVoukaKg==" saltValue="KyvlLT0fTBxsXRqJ8GidKQ==" spinCount="100000" sheet="1" objects="1" scenarios="1" selectLockedCells="1" selectUnlockedCells="1"/>
  <mergeCells count="4">
    <mergeCell ref="B2:F2"/>
    <mergeCell ref="B3:B4"/>
    <mergeCell ref="C3:C4"/>
    <mergeCell ref="D3:F3"/>
  </mergeCells>
  <conditionalFormatting sqref="B5:F333 B334:B380 B346:F381">
    <cfRule type="expression" dxfId="23" priority="2">
      <formula>B5&lt;0</formula>
    </cfRule>
  </conditionalFormatting>
  <conditionalFormatting sqref="C334:F345">
    <cfRule type="expression" dxfId="22" priority="1">
      <formula>C334&lt;0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19</vt:i4>
      </vt:variant>
      <vt:variant>
        <vt:lpstr>Intervalos nomeados</vt:lpstr>
      </vt:variant>
      <vt:variant>
        <vt:i4>7</vt:i4>
      </vt:variant>
    </vt:vector>
  </HeadingPairs>
  <TitlesOfParts>
    <vt:vector size="26" baseType="lpstr">
      <vt:lpstr>Resultados</vt:lpstr>
      <vt:lpstr>Ativos</vt:lpstr>
      <vt:lpstr>OPEX</vt:lpstr>
      <vt:lpstr>Mercado</vt:lpstr>
      <vt:lpstr>Contraprestação PPP</vt:lpstr>
      <vt:lpstr>Outras Receitas</vt:lpstr>
      <vt:lpstr>Receitas Irrecuperáveis</vt:lpstr>
      <vt:lpstr>BD Outras Receitas</vt:lpstr>
      <vt:lpstr>IPCA</vt:lpstr>
      <vt:lpstr>AUX</vt:lpstr>
      <vt:lpstr>AUX2</vt:lpstr>
      <vt:lpstr>Informações TAI</vt:lpstr>
      <vt:lpstr>INDICADORES MERCADO</vt:lpstr>
      <vt:lpstr>BD Custos Operacionais</vt:lpstr>
      <vt:lpstr>BD Receita</vt:lpstr>
      <vt:lpstr>Economias, Ligações e Volumes</vt:lpstr>
      <vt:lpstr>Consumo Energia</vt:lpstr>
      <vt:lpstr>Material de Tratamento</vt:lpstr>
      <vt:lpstr>BD Investimentos</vt:lpstr>
      <vt:lpstr>DATA_BASE</vt:lpstr>
      <vt:lpstr>FP</vt:lpstr>
      <vt:lpstr>OR</vt:lpstr>
      <vt:lpstr>QRR</vt:lpstr>
      <vt:lpstr>TRS</vt:lpstr>
      <vt:lpstr>WACC</vt:lpstr>
      <vt:lpstr>WACC_AntesImpostos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Felipe Barros</dc:creator>
  <cp:lastModifiedBy>Lucélia da Costa Nogueira Tashima</cp:lastModifiedBy>
  <dcterms:created xsi:type="dcterms:W3CDTF">2020-11-18T14:07:57Z</dcterms:created>
  <dcterms:modified xsi:type="dcterms:W3CDTF">2025-11-03T15:19:36Z</dcterms:modified>
</cp:coreProperties>
</file>